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80" windowWidth="14730" windowHeight="10500" activeTab="0"/>
  </bookViews>
  <sheets>
    <sheet name="Table A" sheetId="1" r:id="rId1"/>
    <sheet name="Table A1" sheetId="2" r:id="rId2"/>
    <sheet name="Table B" sheetId="3" r:id="rId3"/>
  </sheets>
  <externalReferences>
    <externalReference r:id="rId6"/>
  </externalReferences>
  <definedNames>
    <definedName name="enddfes">'Table B'!$C$118</definedName>
    <definedName name="startdfes">'Table B'!$C$10</definedName>
  </definedNames>
  <calcPr fullCalcOnLoad="1"/>
</workbook>
</file>

<file path=xl/sharedStrings.xml><?xml version="1.0" encoding="utf-8"?>
<sst xmlns="http://schemas.openxmlformats.org/spreadsheetml/2006/main" count="527" uniqueCount="400">
  <si>
    <t>CHILDREN, SCHOOLS AND FAMILIES DATA COLLECTION (OUTTURN)</t>
  </si>
  <si>
    <t>LA Name</t>
  </si>
  <si>
    <t xml:space="preserve">Hillingdon </t>
  </si>
  <si>
    <t>LA No.</t>
  </si>
  <si>
    <t>Year 2008-09</t>
  </si>
  <si>
    <t>Contact</t>
  </si>
  <si>
    <t>Email</t>
  </si>
  <si>
    <t>TABLE A</t>
  </si>
  <si>
    <t>Tel No.</t>
  </si>
  <si>
    <t>Version</t>
  </si>
  <si>
    <t>Completion date</t>
  </si>
  <si>
    <t>SPENDING BY SCHOOLS</t>
  </si>
  <si>
    <t>Nursery Schools</t>
  </si>
  <si>
    <t>Primary Schools</t>
  </si>
  <si>
    <t>Secondary Schools</t>
  </si>
  <si>
    <t>Special Schools</t>
  </si>
  <si>
    <t>Total</t>
  </si>
  <si>
    <t>Outturn 07-08
Total
(col f)</t>
  </si>
  <si>
    <t xml:space="preserve">Validation Range (queries on figures which are outside both the percentage and actual limits)
</t>
  </si>
  <si>
    <t>Percentage change %</t>
  </si>
  <si>
    <t>Absolute Difference</t>
  </si>
  <si>
    <t>£</t>
  </si>
  <si>
    <t>(a)</t>
  </si>
  <si>
    <t>(b)</t>
  </si>
  <si>
    <t>(c)</t>
  </si>
  <si>
    <t>(d)</t>
  </si>
  <si>
    <t>(e)</t>
  </si>
  <si>
    <t>(f)</t>
  </si>
  <si>
    <t>(£)</t>
  </si>
  <si>
    <t>Lower Limit</t>
  </si>
  <si>
    <t>Upper Limit</t>
  </si>
  <si>
    <t>EXPENDITURE</t>
  </si>
  <si>
    <t>Teaching staff (E01)</t>
  </si>
  <si>
    <t>Supply teaching staff (E02)</t>
  </si>
  <si>
    <t>TOTAL TEACHING STAFF</t>
  </si>
  <si>
    <t>EDUCATION SUPPORT STAFF (E03)</t>
  </si>
  <si>
    <t>OTHER EMPLOYEE COSTS</t>
  </si>
  <si>
    <t>Premises staff (E04)</t>
  </si>
  <si>
    <t>Administrative &amp; clerical staff (E05)</t>
  </si>
  <si>
    <t>Catering Staff (E06)</t>
  </si>
  <si>
    <t>Cost of other staff (E07)</t>
  </si>
  <si>
    <t>Indirect employee expenses (E08)</t>
  </si>
  <si>
    <t>Development and training (E09)</t>
  </si>
  <si>
    <t>Supply teacher insurance (E10)</t>
  </si>
  <si>
    <t>Staff related insurance (E11)</t>
  </si>
  <si>
    <t>TOTAL OTHER EMPLOYEE COSTS</t>
  </si>
  <si>
    <t>RUNNING EXPENSES</t>
  </si>
  <si>
    <t>Building maintenance and improvement (E12)</t>
  </si>
  <si>
    <t>Grounds maintenance and improvement (E13)</t>
  </si>
  <si>
    <t>Cleaning and caretaking (E14)</t>
  </si>
  <si>
    <t>Water and sewerage (E15)</t>
  </si>
  <si>
    <t>Energy (E16)</t>
  </si>
  <si>
    <t>Rates (E17)</t>
  </si>
  <si>
    <t>Other occupation costs (E18)</t>
  </si>
  <si>
    <t>Learning resources (not ICT) (E19)</t>
  </si>
  <si>
    <t>ICT learning resources (E20)</t>
  </si>
  <si>
    <t>Examination fees (E21)</t>
  </si>
  <si>
    <t>Administrative supplies (E22)</t>
  </si>
  <si>
    <t>Other insurance premiums (E23)</t>
  </si>
  <si>
    <t>Special facilities (E24)</t>
  </si>
  <si>
    <t>Catering supplies (E25)</t>
  </si>
  <si>
    <t>Agency supply teaching staff (E26)</t>
  </si>
  <si>
    <t>Bought-in professional services - curriculum (E27)</t>
  </si>
  <si>
    <t>Bought-in professional services - other (E28)</t>
  </si>
  <si>
    <t>Loan interest (E29)</t>
  </si>
  <si>
    <t>Community focused extended school staff (E31)</t>
  </si>
  <si>
    <t>Community focused extended school costs (E32)</t>
  </si>
  <si>
    <t>TOTAL RUNNING EXPENSES</t>
  </si>
  <si>
    <t>TOTAL GROSS EXPENDITURE</t>
  </si>
  <si>
    <t>FUNDING</t>
  </si>
  <si>
    <t>Funds delegated by the LA (I01)</t>
  </si>
  <si>
    <t>Funding for sixth form students (I02)</t>
  </si>
  <si>
    <t>SEN funding (Not for special schools) (I03)</t>
  </si>
  <si>
    <t>Funding for minority ethnic pupils (I04)</t>
  </si>
  <si>
    <t>Standards Fund (I05)</t>
  </si>
  <si>
    <t>Other government grants (I06)</t>
  </si>
  <si>
    <t>School Standards Grant (SSG) pupil focused (I14)</t>
  </si>
  <si>
    <t>Pupil focused extended school funding and/or grants (I15)</t>
  </si>
  <si>
    <t>Community focused extended school funding and/or grants (I16)</t>
  </si>
  <si>
    <t>TOTAL FUNDING</t>
  </si>
  <si>
    <t>INCOME</t>
  </si>
  <si>
    <t>Other grants and payments (I07)</t>
  </si>
  <si>
    <t>Income from facilities and services (I08)</t>
  </si>
  <si>
    <t>Income from catering (I09)</t>
  </si>
  <si>
    <t>Receipts from supply teacher insurance claims (I10)</t>
  </si>
  <si>
    <t>Receipts from other insurance claims (I11)</t>
  </si>
  <si>
    <t>Income from contributions to visits etc. (I12)</t>
  </si>
  <si>
    <t>Community focused extended school facilities income (I17)</t>
  </si>
  <si>
    <t>Total income NOT including donations and/or voluntary funds</t>
  </si>
  <si>
    <t>Donations and/or voluntary funds (I13)</t>
  </si>
  <si>
    <t>TOTAL INCOME INCLUDING DONATIONS AND/OR VOLUNTARY FUNDS</t>
  </si>
  <si>
    <t>SCHOOLS NET CURRENT EXPENDITURE</t>
  </si>
  <si>
    <t>Capital Expenditure from Revenue - CERA (E30) (Schools)</t>
  </si>
  <si>
    <t>BALANCES</t>
  </si>
  <si>
    <t>Opening balances at 01/04/2008</t>
  </si>
  <si>
    <t>Committed revenue balance (B01)</t>
  </si>
  <si>
    <t>Uncommitted revenue balance (B02)</t>
  </si>
  <si>
    <t>Community focused extended school revenue balance (B06)</t>
  </si>
  <si>
    <t>Closing balances at 31/03/2009</t>
  </si>
  <si>
    <t xml:space="preserve">Teaching staff </t>
  </si>
  <si>
    <t xml:space="preserve">Education support staff </t>
  </si>
  <si>
    <t>Other Employees</t>
  </si>
  <si>
    <t>Running Expenses</t>
  </si>
  <si>
    <t>TOTAL EXPENDITURE</t>
  </si>
  <si>
    <t>Income</t>
  </si>
  <si>
    <t>NET Current Expenditure</t>
  </si>
  <si>
    <t>Govt. Grants Inside AEF</t>
  </si>
  <si>
    <t>Govt. Grants Outside AEF not including LSC</t>
  </si>
  <si>
    <t>Grants from LSC</t>
  </si>
  <si>
    <t>LA NET Revenue Expenditure</t>
  </si>
  <si>
    <t>Inter-authority recoupment included in (j)</t>
  </si>
  <si>
    <t>Inter-authority recoupment included in (l)</t>
  </si>
  <si>
    <t>Capital Expenditure (Excluding CERA)</t>
  </si>
  <si>
    <t>Home to school transport: Nursery</t>
  </si>
  <si>
    <t>Home to school transport: Primary</t>
  </si>
  <si>
    <t>Home to school/college transport: Secondary</t>
  </si>
  <si>
    <t>Home to school/college transport: Special</t>
  </si>
  <si>
    <t>Outturn 07-08
Total Expenditure
(col k)</t>
  </si>
  <si>
    <t>Validation Range (queries on figures which are outside both the percentage and actual limits)</t>
  </si>
  <si>
    <t>Percentage change (%)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</si>
  <si>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</si>
  <si>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</si>
  <si>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</si>
  <si>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</si>
  <si>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</si>
  <si>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</si>
  <si>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</si>
  <si>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</si>
  <si>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</si>
  <si>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</si>
  <si>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</si>
  <si>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(r(i))</t>
  </si>
  <si>
    <t>(r(ii))</t>
  </si>
  <si>
    <t>(s)</t>
  </si>
  <si>
    <t>(t)</t>
  </si>
  <si>
    <t>(u)</t>
  </si>
  <si>
    <t>(v)</t>
  </si>
  <si>
    <t>(w)</t>
  </si>
  <si>
    <t>Lower limit</t>
  </si>
  <si>
    <t>SCHOOLS BUDGET</t>
  </si>
  <si>
    <t>SPENDING BY SCHOOLS (brought forward)</t>
  </si>
  <si>
    <t>Nursery schools</t>
  </si>
  <si>
    <t>TOTAL SCHOOL SPENDING (Excluding CERA line 57)</t>
  </si>
  <si>
    <t>SPENDING BY LA WITHIN THE SCHOOLS BUDGET (EXCLUDING DELEGATED OR DEVOLVED FUNDING)</t>
  </si>
  <si>
    <t>Private/voluntary/independent fees for education for Under 5s (Not NMSS)</t>
  </si>
  <si>
    <t>Independent/Non-Maintained schools fees</t>
  </si>
  <si>
    <t>Education out of school</t>
  </si>
  <si>
    <t>School Meals/Milk</t>
  </si>
  <si>
    <t>Other Support Services : expenditure falling within the definition of the Schools Budget</t>
  </si>
  <si>
    <t>TOTAL SCHOOLS BUDGET (excluding CERA) (lines 68 to 77)</t>
  </si>
  <si>
    <t>Capital Expenditure from Revenue (CERA) (Spending by LA in Schools Budget)</t>
  </si>
  <si>
    <t>SUBTOTAL: CENTRAL EXPENDITURE WITHIN THE SCHOOLS BUDGET (including CERA) (lines 69 to 77 + line 79)</t>
  </si>
  <si>
    <t>TOTAL SCHOOLS BUDGET (including CERA)  (line 68 + line 80 + line 57 col (f))</t>
  </si>
  <si>
    <t>LA BUDGET</t>
  </si>
  <si>
    <t>LA CENTRAL FUNCTIONS</t>
  </si>
  <si>
    <t>Central Administration</t>
  </si>
  <si>
    <t>Teacher Development</t>
  </si>
  <si>
    <t>HE/FE courses run on behalf of the authority</t>
  </si>
  <si>
    <t>PRC, Redundancy, Existing Early Retirement and Pension liabilities costs</t>
  </si>
  <si>
    <t>SUB-TOTAL CENTRAL ADMINISTRATION (lines 82 to 85)</t>
  </si>
  <si>
    <t>Support and Access</t>
  </si>
  <si>
    <t>Pupil Support</t>
  </si>
  <si>
    <t>Other support services: expenditure falling within the definition of the LA budget</t>
  </si>
  <si>
    <t>Home to school transport: SEN transport expenditure</t>
  </si>
  <si>
    <t>Home to school transport: other home to school transport expenditure</t>
  </si>
  <si>
    <t>Home to college transport : SEN transport expenditure</t>
  </si>
  <si>
    <t>Home to college transport : other home to college transport expenditure</t>
  </si>
  <si>
    <t xml:space="preserve">SUB-TOTAL SUPPORT AND ACCESS (lines 87 to 92) </t>
  </si>
  <si>
    <t>SUB-TOTAL LA CENTRAL FUNCTIONS (line 86 + line 93)</t>
  </si>
  <si>
    <t>YOUTH AND COMMUNITY</t>
  </si>
  <si>
    <t>Services to young people</t>
  </si>
  <si>
    <t xml:space="preserve">Positive activities for young people </t>
  </si>
  <si>
    <t>Positive activities controlled or shaped by young people</t>
  </si>
  <si>
    <t>Positive activities for young people on Friday and Saturday nights</t>
  </si>
  <si>
    <t>Youth Work</t>
  </si>
  <si>
    <t>Connexions</t>
  </si>
  <si>
    <t>Student Support/including Mandatory awards</t>
  </si>
  <si>
    <t>Other Community Services</t>
  </si>
  <si>
    <t>Adult and Community learning</t>
  </si>
  <si>
    <t>SUB-TOTAL YOUTH AND COMMUNITY (lines 95 to 102)</t>
  </si>
  <si>
    <t>TOTAL LA BUDGET (excluding CERA) (line 94 + line 103)</t>
  </si>
  <si>
    <t>TOTAL SPENDING BY LA (excluding CERA) (Schools and LA budget) (lines 69 to 77 + line 104)</t>
  </si>
  <si>
    <t xml:space="preserve">Capital Expenditure from Revenue (CERA) (LA) </t>
  </si>
  <si>
    <t>Capital Expenditure from Revenue (CERA) (Youth &amp; Community)</t>
  </si>
  <si>
    <t>TOTAL LA BUDGET (including CERA) (line 104 + line 106 + line 107)</t>
  </si>
  <si>
    <t>TOTAL EDUCATION SPENDING (excluding CERA) (lines 78 and 104)</t>
  </si>
  <si>
    <t xml:space="preserve">TOTAL EDUCATION SPENDING (including CERA) (line 81 + line 108) </t>
  </si>
  <si>
    <t>TABLE A NOTES</t>
  </si>
  <si>
    <t>TABLE A WORKING AREA</t>
  </si>
  <si>
    <t>Note that the information you provide in this section will be taken into account when returned to DCSF.</t>
  </si>
  <si>
    <t>This area is provided for your own use. The information you provide in this section will not be taken into account when returned to the DCSF</t>
  </si>
  <si>
    <t>TABLE B</t>
  </si>
  <si>
    <t>Sorting column for LAs own use</t>
  </si>
  <si>
    <t>School Name</t>
  </si>
  <si>
    <t>DCSF Reference Number</t>
  </si>
  <si>
    <t xml:space="preserve">Opening Pupil Focussed Revenue Balance [OB01]
(2007-08 B01 &amp; B02 carried forward) </t>
  </si>
  <si>
    <t xml:space="preserve">Opening Community Focussed Extended School Revenue Balance [OB02]
(2007-08 B06 carried forward) </t>
  </si>
  <si>
    <t>Planned Budget Share</t>
  </si>
  <si>
    <t>Delegated Funds (Including pupil focussed SSG and LSC funding) [I01, I02 &amp; I14]</t>
  </si>
  <si>
    <t>SEN Funding (including some Standards Fund)  [I03] and Minority Ethnic Pupils [I04]</t>
  </si>
  <si>
    <t>Standards Fund residue (not included in (7)) [I05]</t>
  </si>
  <si>
    <t>Other Government Grants [I06]</t>
  </si>
  <si>
    <t>Income generated by schools (excluding community focussed income) [I07 to I13]</t>
  </si>
  <si>
    <t>Pupil focussed extended school funding and/or grants [I15]</t>
  </si>
  <si>
    <t>Community focussed extended school funding and/or grants [I16]</t>
  </si>
  <si>
    <t>Community focussed extended school facilities income [I17]</t>
  </si>
  <si>
    <t>Total resources available to school (sum of 3 + 4 + (6 to 13))</t>
  </si>
  <si>
    <t xml:space="preserve">School Expenditure (does not include community focussed expenditure, CERA or income) [E01 to E29] </t>
  </si>
  <si>
    <t xml:space="preserve">Community focussed school expenditure (does not include income) [E31 &amp; E32] </t>
  </si>
  <si>
    <t>Capital Expenditure from Revenue - CERA [E30]</t>
  </si>
  <si>
    <t xml:space="preserve">Committed Revenue Balance [B01]  </t>
  </si>
  <si>
    <t>Uncommitted Revenue Balance [B02]</t>
  </si>
  <si>
    <t>Community Focussed Extended School Revenue Balance [B06]</t>
  </si>
  <si>
    <t>NNNN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</si>
  <si>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</si>
  <si>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</si>
  <si>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</si>
  <si>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</si>
  <si>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</si>
  <si>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</si>
  <si>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</si>
  <si>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</si>
  <si>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</si>
  <si>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</si>
  <si>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</si>
  <si>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</si>
  <si>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</si>
  <si>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</si>
  <si>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</si>
  <si>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</si>
  <si>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</si>
  <si>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</si>
  <si>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</si>
  <si>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</si>
  <si>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NURSERY SCHOOLS</t>
  </si>
  <si>
    <t>McMillan Nursery School</t>
  </si>
  <si>
    <t>Total Nursery Schools (21)</t>
  </si>
  <si>
    <t>PRIMARY SCHOOLS</t>
  </si>
  <si>
    <t>Belmore Childrens Centre, Nursery and Primary School</t>
  </si>
  <si>
    <t>Bourne Primary School</t>
  </si>
  <si>
    <t>Breakspear Junior School</t>
  </si>
  <si>
    <t>Colham Manor Primary School</t>
  </si>
  <si>
    <t>Coteford Junior School</t>
  </si>
  <si>
    <t>Coteford Infant School</t>
  </si>
  <si>
    <t>Deanesfield Primary School</t>
  </si>
  <si>
    <t>Field End Junior School</t>
  </si>
  <si>
    <t>Field End Infant School</t>
  </si>
  <si>
    <t>Glebe Primary School</t>
  </si>
  <si>
    <t>Harefield Junior School</t>
  </si>
  <si>
    <t>Harefield Infant School</t>
  </si>
  <si>
    <t>Harlyn Primary School</t>
  </si>
  <si>
    <t>Harmondsworth Primary School</t>
  </si>
  <si>
    <t>Heathrow Primary School</t>
  </si>
  <si>
    <t>Lady Bankes Junior School</t>
  </si>
  <si>
    <t>Lady Bankes Infant School</t>
  </si>
  <si>
    <t>Longmead Primary School</t>
  </si>
  <si>
    <t>Minet Junior School</t>
  </si>
  <si>
    <t>Minet Nursery and Infant School</t>
  </si>
  <si>
    <t>Newnham Junior School</t>
  </si>
  <si>
    <t>Newnham Infant and Nursery School</t>
  </si>
  <si>
    <t>Ryefield Primary School</t>
  </si>
  <si>
    <t>West Drayton Primary School</t>
  </si>
  <si>
    <t>Whitehall Junior School</t>
  </si>
  <si>
    <t>Whiteheath Junior School</t>
  </si>
  <si>
    <t>William Byrd School</t>
  </si>
  <si>
    <t>Yeading Junior School</t>
  </si>
  <si>
    <t>Yeading Infant and Nursery School</t>
  </si>
  <si>
    <t>Hermitage Primary School</t>
  </si>
  <si>
    <t>Brookside Primary School</t>
  </si>
  <si>
    <t>Highfield Primary School</t>
  </si>
  <si>
    <t>Rabbsfarm Primary School</t>
  </si>
  <si>
    <t>Warrender Primary School</t>
  </si>
  <si>
    <t>Breakspear Infant and Nursery School</t>
  </si>
  <si>
    <t>Whitehall Infant School</t>
  </si>
  <si>
    <t>Whiteheath Infant and Nursery School</t>
  </si>
  <si>
    <t>Frithwood Primary School</t>
  </si>
  <si>
    <t>Cranford Park Primary School</t>
  </si>
  <si>
    <t>Ruislip Gardens Primary School</t>
  </si>
  <si>
    <t>Hillingdon Primary School</t>
  </si>
  <si>
    <t>Wood End Park Community School</t>
  </si>
  <si>
    <t>Pinkwell Primary School</t>
  </si>
  <si>
    <t>Cherry Lane Primary School</t>
  </si>
  <si>
    <t>Bishop Winnington-Ingram CofE Primary School</t>
  </si>
  <si>
    <t>Holy Trinity CofE Primary School</t>
  </si>
  <si>
    <t>St Matthew's CofE Primary School</t>
  </si>
  <si>
    <t>Dr Triplett's CofE Primary School</t>
  </si>
  <si>
    <t>St Swithun Wells Catholic Primary School</t>
  </si>
  <si>
    <t>Botwell House Catholic Primary School</t>
  </si>
  <si>
    <t>St Bernadette Catholic Primary School</t>
  </si>
  <si>
    <t>St Catherine Catholic Primary School</t>
  </si>
  <si>
    <t>St Mary's Catholic Primary School</t>
  </si>
  <si>
    <t>Sacred Heart Catholic Primary School</t>
  </si>
  <si>
    <t>Guru Nanak Sikh Primary School</t>
  </si>
  <si>
    <t>Cowley St Laurence CofE Primary School</t>
  </si>
  <si>
    <t>Oak Farm Infant School</t>
  </si>
  <si>
    <t>Oak Farm Junior School</t>
  </si>
  <si>
    <t>Grange Park Junior School</t>
  </si>
  <si>
    <t>Grange Park Infant and Nursery School</t>
  </si>
  <si>
    <t>Hillside Infant School</t>
  </si>
  <si>
    <t>Hillside Junior School</t>
  </si>
  <si>
    <t>Charville Primary School</t>
  </si>
  <si>
    <t>St Andrew's CofE Primary School</t>
  </si>
  <si>
    <t>Hayes Park School</t>
  </si>
  <si>
    <t>Middle Deemed</t>
  </si>
  <si>
    <t>Total Primary Schools (22)</t>
  </si>
  <si>
    <t>SECONDARY SCHOOLS</t>
  </si>
  <si>
    <t>Ruislip High School</t>
  </si>
  <si>
    <t>Bishop Ramsey CofE Voluntary Aided Secondary School</t>
  </si>
  <si>
    <t>Guru Nanak Sikh Voluntary Aided Secondary School</t>
  </si>
  <si>
    <t>Bishopshalt School</t>
  </si>
  <si>
    <t>Haydon School</t>
  </si>
  <si>
    <t>Vyners School</t>
  </si>
  <si>
    <t>Queensmead School</t>
  </si>
  <si>
    <t>Uxbridge High School</t>
  </si>
  <si>
    <t>Northwood School</t>
  </si>
  <si>
    <t>Rosedale College</t>
  </si>
  <si>
    <t>Mellow Lane School</t>
  </si>
  <si>
    <t>The Douay Martyrs Catholic School</t>
  </si>
  <si>
    <t>Abbotsfield School</t>
  </si>
  <si>
    <t>Swakeleys School</t>
  </si>
  <si>
    <t>Harlington Community School</t>
  </si>
  <si>
    <t>Barnhill Community High School</t>
  </si>
  <si>
    <t>Total Secondary Schools (23)</t>
  </si>
  <si>
    <t>SPECIAL SCHOOLS</t>
  </si>
  <si>
    <t>Chantry School</t>
  </si>
  <si>
    <t>The Willows School</t>
  </si>
  <si>
    <t>Meadow High School</t>
  </si>
  <si>
    <t>Hedgewood School</t>
  </si>
  <si>
    <t>Moorcroft School</t>
  </si>
  <si>
    <t>Grangewood School</t>
  </si>
  <si>
    <t>Total Special Schools (24)</t>
  </si>
  <si>
    <t>TOTALS FOR ALL SCHOOLS (25)</t>
  </si>
  <si>
    <t>TABLE B NOTES</t>
  </si>
  <si>
    <t>TABLE B WORKING AREA</t>
  </si>
  <si>
    <t>TABLE A1 - CHILDREN AND YOUNG PEOPLE'S SERVICES</t>
  </si>
  <si>
    <t>TABLE A1 - CHILDREN'S AND YOUNG PEOPLE'S SERVICES</t>
  </si>
  <si>
    <t>PRIVATE</t>
  </si>
  <si>
    <t>VOLUNTARY</t>
  </si>
  <si>
    <t>PUBLIC</t>
  </si>
  <si>
    <t>(x)</t>
  </si>
  <si>
    <t xml:space="preserve">(y) </t>
  </si>
  <si>
    <t>(z)</t>
  </si>
  <si>
    <t>(y)</t>
  </si>
  <si>
    <t>YOUTH JUSTICE</t>
  </si>
  <si>
    <t>Secure accommodation (youth justice)</t>
  </si>
  <si>
    <t>Youth offender teams</t>
  </si>
  <si>
    <t>Other Youth Justice service</t>
  </si>
  <si>
    <t>Total Youth Justice</t>
  </si>
  <si>
    <t>CHILDREN LOOKED AFTER</t>
  </si>
  <si>
    <t>Residential care</t>
  </si>
  <si>
    <t>Fostering services</t>
  </si>
  <si>
    <t>Other children looked after services</t>
  </si>
  <si>
    <t>Secure accommodation (welfare)</t>
  </si>
  <si>
    <t>Short breaks (respite) for looked after children</t>
  </si>
  <si>
    <t>Children placed with family and friends</t>
  </si>
  <si>
    <t>Advocacy services for children looked after</t>
  </si>
  <si>
    <t>Education of looked after children</t>
  </si>
  <si>
    <t>Leaving care support services</t>
  </si>
  <si>
    <t>Total Children Looked After</t>
  </si>
  <si>
    <t>CHILDREN AND YOUNG PEOPLE'S SAFETY</t>
  </si>
  <si>
    <t>Child death processes</t>
  </si>
  <si>
    <t xml:space="preserve">Preventative services </t>
  </si>
  <si>
    <t>Preventative services (formerly the children's fund)</t>
  </si>
  <si>
    <t>LA functions in relation to child protection</t>
  </si>
  <si>
    <t>Local safeguarding childrens board</t>
  </si>
  <si>
    <t>Total Children and Young People's Safety</t>
  </si>
  <si>
    <t>FAMILY SUPPORT SERVICES</t>
  </si>
  <si>
    <t>Direct payments</t>
  </si>
  <si>
    <t>Short breaks (respite) for disabled children</t>
  </si>
  <si>
    <t>Home care services</t>
  </si>
  <si>
    <t>Equiptment and adaptations</t>
  </si>
  <si>
    <t>Other family support services</t>
  </si>
  <si>
    <t>Substances misuse services (Drugs, Alcohol and Volatile substances)</t>
  </si>
  <si>
    <t>Contribution to health care of individual children</t>
  </si>
  <si>
    <t>Teenage pregnancy services</t>
  </si>
  <si>
    <t>Total Family Support Services</t>
  </si>
  <si>
    <t>ASYLUM SEEKERS</t>
  </si>
  <si>
    <t>Asylum seeker services - children</t>
  </si>
  <si>
    <t>Unaccompanied asylum children</t>
  </si>
  <si>
    <t>Accommodation</t>
  </si>
  <si>
    <t>Assessment and care management</t>
  </si>
  <si>
    <t>Total Asylum Seeker</t>
  </si>
  <si>
    <t>OTHER CHILDREN'S AND FAMILIES SERVICES</t>
  </si>
  <si>
    <t xml:space="preserve">Adoption services </t>
  </si>
  <si>
    <t>Special guardianship support</t>
  </si>
  <si>
    <t>Other children's and families services</t>
  </si>
  <si>
    <t>Total Other Children's and Families Services</t>
  </si>
  <si>
    <t>CHILDREN'S SERVICES STRATEGY</t>
  </si>
  <si>
    <t>Children's and young people's plan</t>
  </si>
  <si>
    <t xml:space="preserve">Children's social care workforce grant </t>
  </si>
  <si>
    <t xml:space="preserve">Partnership costs </t>
  </si>
  <si>
    <t>Central commissioning function</t>
  </si>
  <si>
    <t>Commissioning and social work</t>
  </si>
  <si>
    <t>Total Children's Services Strategy</t>
  </si>
  <si>
    <t>Child Trust Fund Top Ups</t>
  </si>
  <si>
    <t>Capital Expenditure from Revenue (CERA) (Children's and young people's services)</t>
  </si>
  <si>
    <t>TOTAL CHILDREN AND YOUNG PEOPLE'S SERVICES BUDGET (excluding CERA)</t>
  </si>
  <si>
    <t>TOTAL CHILDREN AND YOUNG PEOPLE'S SERVICES EXPENDITURE</t>
  </si>
  <si>
    <t>TOTAL CHILDREN AND YOUNG PEOPLE'S SERVICES BUDGET (including CERA)</t>
  </si>
  <si>
    <t>TABLE A1 NOTES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</si>
</sst>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%"/>
  </numFmts>
  <fonts count="1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3" fillId="0" borderId="5" xfId="19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5" xfId="0" applyNumberFormat="1" applyFont="1" applyBorder="1" applyAlignment="1" applyProtection="1">
      <alignment/>
      <protection locked="0"/>
    </xf>
    <xf numFmtId="49" fontId="2" fillId="0" borderId="7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1" fillId="0" borderId="11" xfId="19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19" applyFont="1" applyFill="1" applyBorder="1" applyAlignment="1" applyProtection="1">
      <alignment/>
      <protection/>
    </xf>
    <xf numFmtId="0" fontId="6" fillId="0" borderId="14" xfId="19" applyFont="1" applyFill="1" applyBorder="1" applyAlignment="1" applyProtection="1">
      <alignment/>
      <protection/>
    </xf>
    <xf numFmtId="0" fontId="1" fillId="0" borderId="15" xfId="19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wrapText="1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" fillId="0" borderId="20" xfId="0" applyNumberFormat="1" applyFont="1" applyBorder="1" applyAlignment="1" applyProtection="1">
      <alignment/>
      <protection locked="0"/>
    </xf>
    <xf numFmtId="164" fontId="1" fillId="0" borderId="20" xfId="0" applyNumberFormat="1" applyFont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9" fontId="1" fillId="0" borderId="1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9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/>
      <protection/>
    </xf>
    <xf numFmtId="0" fontId="1" fillId="3" borderId="11" xfId="0" applyFont="1" applyFill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 locked="0"/>
    </xf>
    <xf numFmtId="164" fontId="1" fillId="0" borderId="11" xfId="0" applyNumberFormat="1" applyFont="1" applyBorder="1" applyAlignment="1" applyProtection="1">
      <alignment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 locked="0"/>
    </xf>
    <xf numFmtId="164" fontId="1" fillId="0" borderId="20" xfId="0" applyNumberFormat="1" applyFont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5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 vertical="center"/>
      <protection/>
    </xf>
    <xf numFmtId="164" fontId="1" fillId="0" borderId="20" xfId="0" applyNumberFormat="1" applyFont="1" applyFill="1" applyBorder="1" applyAlignment="1" applyProtection="1">
      <alignment vertical="center"/>
      <protection/>
    </xf>
    <xf numFmtId="164" fontId="1" fillId="0" borderId="22" xfId="0" applyNumberFormat="1" applyFont="1" applyFill="1" applyBorder="1" applyAlignment="1" applyProtection="1">
      <alignment vertical="center" wrapText="1"/>
      <protection/>
    </xf>
    <xf numFmtId="164" fontId="1" fillId="0" borderId="20" xfId="0" applyNumberFormat="1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1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" fillId="4" borderId="12" xfId="0" applyFont="1" applyFill="1" applyBorder="1" applyAlignment="1" applyProtection="1">
      <alignment/>
      <protection/>
    </xf>
    <xf numFmtId="0" fontId="1" fillId="4" borderId="17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165" fontId="1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4" borderId="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top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4" borderId="12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3" borderId="11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 horizontal="left"/>
      <protection/>
    </xf>
    <xf numFmtId="0" fontId="5" fillId="4" borderId="0" xfId="0" applyFont="1" applyFill="1" applyAlignment="1" applyProtection="1">
      <alignment/>
      <protection/>
    </xf>
    <xf numFmtId="164" fontId="1" fillId="4" borderId="6" xfId="0" applyNumberFormat="1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64" fontId="1" fillId="0" borderId="12" xfId="0" applyNumberFormat="1" applyFont="1" applyBorder="1" applyAlignment="1" applyProtection="1">
      <alignment vertical="center"/>
      <protection/>
    </xf>
    <xf numFmtId="0" fontId="1" fillId="4" borderId="12" xfId="0" applyFont="1" applyFill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0" fontId="5" fillId="4" borderId="0" xfId="0" applyFont="1" applyFill="1" applyAlignment="1">
      <alignment vertical="center"/>
    </xf>
    <xf numFmtId="164" fontId="1" fillId="0" borderId="17" xfId="0" applyNumberFormat="1" applyFont="1" applyBorder="1" applyAlignment="1" applyProtection="1">
      <alignment vertical="center"/>
      <protection/>
    </xf>
    <xf numFmtId="0" fontId="1" fillId="4" borderId="17" xfId="0" applyFont="1" applyFill="1" applyBorder="1" applyAlignment="1" applyProtection="1">
      <alignment vertical="center"/>
      <protection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/>
    </xf>
    <xf numFmtId="164" fontId="1" fillId="4" borderId="1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1" fillId="3" borderId="19" xfId="0" applyFont="1" applyFill="1" applyBorder="1" applyAlignment="1" applyProtection="1">
      <alignment vertical="center"/>
      <protection/>
    </xf>
    <xf numFmtId="0" fontId="1" fillId="2" borderId="6" xfId="0" applyFont="1" applyFill="1" applyBorder="1" applyAlignment="1" applyProtection="1">
      <alignment/>
      <protection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 applyProtection="1">
      <alignment vertical="center"/>
      <protection/>
    </xf>
    <xf numFmtId="0" fontId="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/>
    </xf>
    <xf numFmtId="0" fontId="8" fillId="4" borderId="17" xfId="0" applyFont="1" applyFill="1" applyBorder="1" applyAlignment="1" applyProtection="1">
      <alignment horizontal="center" vertical="center"/>
      <protection/>
    </xf>
    <xf numFmtId="165" fontId="1" fillId="4" borderId="17" xfId="0" applyNumberFormat="1" applyFont="1" applyFill="1" applyBorder="1" applyAlignment="1" applyProtection="1">
      <alignment vertical="center"/>
      <protection/>
    </xf>
    <xf numFmtId="164" fontId="1" fillId="4" borderId="1" xfId="0" applyNumberFormat="1" applyFont="1" applyFill="1" applyBorder="1" applyAlignment="1">
      <alignment horizontal="right" vertical="center" wrapText="1"/>
    </xf>
    <xf numFmtId="0" fontId="0" fillId="4" borderId="2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 applyProtection="1">
      <alignment/>
      <protection/>
    </xf>
    <xf numFmtId="0" fontId="0" fillId="4" borderId="0" xfId="0" applyNumberFormat="1" applyFont="1" applyFill="1" applyAlignment="1" applyProtection="1">
      <alignment/>
      <protection/>
    </xf>
    <xf numFmtId="164" fontId="1" fillId="4" borderId="1" xfId="0" applyNumberFormat="1" applyFont="1" applyFill="1" applyBorder="1" applyAlignment="1" applyProtection="1">
      <alignment horizontal="right" vertical="center"/>
      <protection/>
    </xf>
    <xf numFmtId="165" fontId="1" fillId="4" borderId="1" xfId="0" applyNumberFormat="1" applyFont="1" applyFill="1" applyBorder="1" applyAlignment="1" applyProtection="1">
      <alignment vertical="center"/>
      <protection/>
    </xf>
    <xf numFmtId="164" fontId="1" fillId="4" borderId="1" xfId="0" applyNumberFormat="1" applyFont="1" applyFill="1" applyBorder="1" applyAlignment="1">
      <alignment vertical="center"/>
    </xf>
    <xf numFmtId="164" fontId="1" fillId="4" borderId="11" xfId="0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Alignment="1" applyProtection="1">
      <alignment vertical="center"/>
      <protection/>
    </xf>
    <xf numFmtId="0" fontId="0" fillId="4" borderId="0" xfId="0" applyNumberFormat="1" applyFont="1" applyFill="1" applyAlignment="1">
      <alignment/>
    </xf>
    <xf numFmtId="37" fontId="1" fillId="4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 applyProtection="1">
      <alignment vertical="center"/>
      <protection/>
    </xf>
    <xf numFmtId="0" fontId="5" fillId="4" borderId="0" xfId="0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/>
    </xf>
    <xf numFmtId="0" fontId="0" fillId="4" borderId="6" xfId="0" applyNumberFormat="1" applyFont="1" applyFill="1" applyBorder="1" applyAlignment="1">
      <alignment/>
    </xf>
    <xf numFmtId="0" fontId="5" fillId="4" borderId="0" xfId="0" applyFont="1" applyFill="1" applyBorder="1" applyAlignment="1">
      <alignment vertical="center" wrapText="1"/>
    </xf>
    <xf numFmtId="49" fontId="1" fillId="4" borderId="0" xfId="0" applyNumberFormat="1" applyFont="1" applyFill="1" applyBorder="1" applyAlignment="1" quotePrefix="1">
      <alignment horizontal="center" wrapText="1"/>
    </xf>
    <xf numFmtId="49" fontId="0" fillId="4" borderId="0" xfId="0" applyNumberFormat="1" applyFont="1" applyFill="1" applyBorder="1" applyAlignment="1" quotePrefix="1">
      <alignment horizontal="center" wrapText="1"/>
    </xf>
    <xf numFmtId="49" fontId="1" fillId="4" borderId="6" xfId="0" applyNumberFormat="1" applyFont="1" applyFill="1" applyBorder="1" applyAlignment="1" quotePrefix="1">
      <alignment horizontal="center" wrapText="1"/>
    </xf>
    <xf numFmtId="49" fontId="0" fillId="4" borderId="0" xfId="0" applyNumberFormat="1" applyFont="1" applyFill="1" applyBorder="1" applyAlignment="1">
      <alignment/>
    </xf>
    <xf numFmtId="0" fontId="1" fillId="4" borderId="0" xfId="0" applyFont="1" applyFill="1" applyBorder="1" applyAlignment="1" applyProtection="1">
      <alignment horizontal="center" wrapText="1"/>
      <protection/>
    </xf>
    <xf numFmtId="49" fontId="1" fillId="4" borderId="0" xfId="0" applyNumberFormat="1" applyFont="1" applyFill="1" applyBorder="1" applyAlignment="1" applyProtection="1" quotePrefix="1">
      <alignment horizontal="center" wrapText="1"/>
      <protection/>
    </xf>
    <xf numFmtId="49" fontId="0" fillId="4" borderId="0" xfId="0" applyNumberFormat="1" applyFont="1" applyFill="1" applyBorder="1" applyAlignment="1" applyProtection="1" quotePrefix="1">
      <alignment horizontal="center" wrapText="1"/>
      <protection/>
    </xf>
    <xf numFmtId="49" fontId="0" fillId="4" borderId="0" xfId="0" applyNumberFormat="1" applyFont="1" applyFill="1" applyBorder="1" applyAlignment="1" applyProtection="1">
      <alignment wrapText="1"/>
      <protection/>
    </xf>
    <xf numFmtId="0" fontId="0" fillId="4" borderId="0" xfId="0" applyFont="1" applyFill="1" applyBorder="1" applyAlignment="1" applyProtection="1">
      <alignment horizontal="center" wrapText="1"/>
      <protection/>
    </xf>
    <xf numFmtId="0" fontId="8" fillId="4" borderId="6" xfId="0" applyFont="1" applyFill="1" applyBorder="1" applyAlignment="1" applyProtection="1">
      <alignment horizontal="center" vertical="center" wrapText="1"/>
      <protection/>
    </xf>
    <xf numFmtId="0" fontId="1" fillId="4" borderId="0" xfId="0" applyNumberFormat="1" applyFont="1" applyFill="1" applyBorder="1" applyAlignment="1" quotePrefix="1">
      <alignment horizontal="center" wrapText="1"/>
    </xf>
    <xf numFmtId="0" fontId="5" fillId="4" borderId="0" xfId="0" applyFont="1" applyFill="1" applyAlignment="1">
      <alignment vertical="center" wrapText="1"/>
    </xf>
    <xf numFmtId="164" fontId="1" fillId="4" borderId="24" xfId="0" applyNumberFormat="1" applyFont="1" applyFill="1" applyBorder="1" applyAlignment="1">
      <alignment horizontal="right" vertical="center" wrapText="1"/>
    </xf>
    <xf numFmtId="164" fontId="1" fillId="0" borderId="24" xfId="0" applyNumberFormat="1" applyFont="1" applyBorder="1" applyAlignment="1" applyProtection="1">
      <alignment horizontal="right" vertical="center"/>
      <protection/>
    </xf>
    <xf numFmtId="49" fontId="0" fillId="4" borderId="25" xfId="0" applyNumberFormat="1" applyFont="1" applyFill="1" applyBorder="1" applyAlignment="1">
      <alignment horizontal="center" wrapText="1"/>
    </xf>
    <xf numFmtId="164" fontId="1" fillId="4" borderId="24" xfId="0" applyNumberFormat="1" applyFont="1" applyFill="1" applyBorder="1" applyAlignment="1" applyProtection="1">
      <alignment horizontal="right" vertical="center" wrapText="1"/>
      <protection/>
    </xf>
    <xf numFmtId="0" fontId="0" fillId="4" borderId="2" xfId="0" applyFont="1" applyFill="1" applyBorder="1" applyAlignment="1">
      <alignment/>
    </xf>
    <xf numFmtId="0" fontId="1" fillId="4" borderId="0" xfId="0" applyFont="1" applyFill="1" applyBorder="1" applyAlignment="1" applyProtection="1">
      <alignment horizontal="left"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1" fillId="4" borderId="0" xfId="0" applyNumberFormat="1" applyFont="1" applyFill="1" applyBorder="1" applyAlignment="1" applyProtection="1">
      <alignment/>
      <protection/>
    </xf>
    <xf numFmtId="0" fontId="5" fillId="4" borderId="0" xfId="0" applyFont="1" applyFill="1" applyAlignment="1" applyProtection="1">
      <alignment vertical="center" wrapText="1"/>
      <protection/>
    </xf>
    <xf numFmtId="0" fontId="1" fillId="4" borderId="0" xfId="0" applyFont="1" applyFill="1" applyAlignment="1" applyProtection="1">
      <alignment/>
      <protection/>
    </xf>
    <xf numFmtId="0" fontId="0" fillId="4" borderId="25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left"/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7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/>
      <protection/>
    </xf>
    <xf numFmtId="49" fontId="11" fillId="0" borderId="5" xfId="19" applyNumberFormat="1" applyFont="1" applyFill="1" applyBorder="1" applyAlignment="1" applyProtection="1">
      <alignment horizontal="left"/>
      <protection locked="0"/>
    </xf>
    <xf numFmtId="49" fontId="2" fillId="0" borderId="6" xfId="0" applyNumberFormat="1" applyFont="1" applyFill="1" applyBorder="1" applyAlignment="1" applyProtection="1">
      <alignment horizontal="left"/>
      <protection locked="0"/>
    </xf>
    <xf numFmtId="49" fontId="2" fillId="0" borderId="7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/>
      <protection/>
    </xf>
    <xf numFmtId="0" fontId="1" fillId="0" borderId="26" xfId="0" applyFont="1" applyBorder="1" applyAlignment="1">
      <alignment/>
    </xf>
    <xf numFmtId="0" fontId="1" fillId="0" borderId="9" xfId="0" applyFont="1" applyFill="1" applyBorder="1" applyAlignment="1" applyProtection="1">
      <alignment/>
      <protection/>
    </xf>
    <xf numFmtId="49" fontId="2" fillId="0" borderId="5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5" xfId="0" applyNumberFormat="1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5" xfId="0" applyNumberFormat="1" applyFont="1" applyBorder="1" applyAlignment="1" applyProtection="1">
      <alignment vertical="center"/>
      <protection locked="0"/>
    </xf>
    <xf numFmtId="164" fontId="1" fillId="0" borderId="7" xfId="0" applyNumberFormat="1" applyFont="1" applyBorder="1" applyAlignment="1" applyProtection="1">
      <alignment vertical="center"/>
      <protection locked="0"/>
    </xf>
    <xf numFmtId="164" fontId="1" fillId="0" borderId="2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164" fontId="1" fillId="0" borderId="20" xfId="0" applyNumberFormat="1" applyFont="1" applyBorder="1" applyAlignment="1" applyProtection="1">
      <alignment/>
      <protection/>
    </xf>
    <xf numFmtId="164" fontId="1" fillId="0" borderId="20" xfId="0" applyNumberFormat="1" applyFont="1" applyBorder="1" applyAlignment="1" applyProtection="1">
      <alignment/>
      <protection locked="0"/>
    </xf>
    <xf numFmtId="0" fontId="1" fillId="2" borderId="12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164" fontId="1" fillId="0" borderId="24" xfId="0" applyNumberFormat="1" applyFont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/>
    </xf>
    <xf numFmtId="0" fontId="13" fillId="4" borderId="0" xfId="0" applyNumberFormat="1" applyFont="1" applyFill="1" applyBorder="1" applyAlignment="1" applyProtection="1">
      <alignment horizontal="center" vertical="center"/>
      <protection/>
    </xf>
    <xf numFmtId="0" fontId="12" fillId="4" borderId="0" xfId="0" applyNumberFormat="1" applyFont="1" applyFill="1" applyAlignment="1" applyProtection="1">
      <alignment/>
      <protection/>
    </xf>
    <xf numFmtId="0" fontId="12" fillId="0" borderId="0" xfId="0" applyNumberFormat="1" applyFont="1" applyAlignment="1" applyProtection="1">
      <alignment horizontal="center" vertical="center"/>
      <protection/>
    </xf>
    <xf numFmtId="0" fontId="12" fillId="4" borderId="3" xfId="0" applyNumberFormat="1" applyFont="1" applyFill="1" applyBorder="1" applyAlignment="1" applyProtection="1">
      <alignment horizontal="left"/>
      <protection/>
    </xf>
    <xf numFmtId="0" fontId="12" fillId="4" borderId="12" xfId="0" applyNumberFormat="1" applyFont="1" applyFill="1" applyBorder="1" applyAlignment="1" applyProtection="1">
      <alignment/>
      <protection/>
    </xf>
    <xf numFmtId="0" fontId="12" fillId="4" borderId="13" xfId="0" applyNumberFormat="1" applyFont="1" applyFill="1" applyBorder="1" applyAlignment="1" applyProtection="1">
      <alignment horizontal="center"/>
      <protection/>
    </xf>
    <xf numFmtId="0" fontId="12" fillId="4" borderId="1" xfId="0" applyNumberFormat="1" applyFont="1" applyFill="1" applyBorder="1" applyAlignment="1" applyProtection="1">
      <alignment/>
      <protection/>
    </xf>
    <xf numFmtId="0" fontId="12" fillId="4" borderId="5" xfId="0" applyNumberFormat="1" applyFont="1" applyFill="1" applyBorder="1" applyAlignment="1" applyProtection="1">
      <alignment/>
      <protection/>
    </xf>
    <xf numFmtId="0" fontId="12" fillId="4" borderId="6" xfId="0" applyNumberFormat="1" applyFont="1" applyFill="1" applyBorder="1" applyAlignment="1" applyProtection="1">
      <alignment/>
      <protection/>
    </xf>
    <xf numFmtId="0" fontId="12" fillId="4" borderId="7" xfId="0" applyNumberFormat="1" applyFont="1" applyFill="1" applyBorder="1" applyAlignment="1" applyProtection="1">
      <alignment/>
      <protection/>
    </xf>
    <xf numFmtId="0" fontId="12" fillId="4" borderId="11" xfId="0" applyNumberFormat="1" applyFont="1" applyFill="1" applyBorder="1" applyAlignment="1">
      <alignment/>
    </xf>
    <xf numFmtId="0" fontId="12" fillId="4" borderId="1" xfId="0" applyNumberFormat="1" applyFont="1" applyFill="1" applyBorder="1" applyAlignment="1">
      <alignment/>
    </xf>
    <xf numFmtId="0" fontId="12" fillId="3" borderId="5" xfId="0" applyNumberFormat="1" applyFont="1" applyFill="1" applyBorder="1" applyAlignment="1" applyProtection="1">
      <alignment/>
      <protection/>
    </xf>
    <xf numFmtId="0" fontId="12" fillId="3" borderId="6" xfId="0" applyNumberFormat="1" applyFont="1" applyFill="1" applyBorder="1" applyAlignment="1" applyProtection="1">
      <alignment/>
      <protection/>
    </xf>
    <xf numFmtId="0" fontId="12" fillId="3" borderId="7" xfId="0" applyNumberFormat="1" applyFont="1" applyFill="1" applyBorder="1" applyAlignment="1" applyProtection="1">
      <alignment/>
      <protection/>
    </xf>
    <xf numFmtId="0" fontId="12" fillId="3" borderId="27" xfId="0" applyNumberFormat="1" applyFont="1" applyFill="1" applyBorder="1" applyAlignment="1">
      <alignment/>
    </xf>
    <xf numFmtId="0" fontId="12" fillId="4" borderId="2" xfId="0" applyNumberFormat="1" applyFont="1" applyFill="1" applyBorder="1" applyAlignment="1" applyProtection="1">
      <alignment horizontal="left"/>
      <protection/>
    </xf>
    <xf numFmtId="0" fontId="12" fillId="4" borderId="0" xfId="0" applyNumberFormat="1" applyFont="1" applyFill="1" applyBorder="1" applyAlignment="1" applyProtection="1">
      <alignment/>
      <protection/>
    </xf>
    <xf numFmtId="0" fontId="12" fillId="4" borderId="14" xfId="0" applyNumberFormat="1" applyFont="1" applyFill="1" applyBorder="1" applyAlignment="1" applyProtection="1">
      <alignment horizontal="center"/>
      <protection/>
    </xf>
    <xf numFmtId="0" fontId="12" fillId="4" borderId="5" xfId="0" applyNumberFormat="1" applyFont="1" applyFill="1" applyBorder="1" applyAlignment="1" applyProtection="1">
      <alignment/>
      <protection locked="0"/>
    </xf>
    <xf numFmtId="0" fontId="12" fillId="4" borderId="16" xfId="0" applyNumberFormat="1" applyFont="1" applyFill="1" applyBorder="1" applyAlignment="1">
      <alignment/>
    </xf>
    <xf numFmtId="0" fontId="12" fillId="4" borderId="5" xfId="0" applyNumberFormat="1" applyFont="1" applyFill="1" applyBorder="1" applyAlignment="1" applyProtection="1">
      <alignment wrapText="1"/>
      <protection locked="0"/>
    </xf>
    <xf numFmtId="0" fontId="12" fillId="4" borderId="6" xfId="0" applyNumberFormat="1" applyFont="1" applyFill="1" applyBorder="1" applyAlignment="1" applyProtection="1">
      <alignment wrapText="1"/>
      <protection locked="0"/>
    </xf>
    <xf numFmtId="0" fontId="12" fillId="4" borderId="7" xfId="0" applyNumberFormat="1" applyFont="1" applyFill="1" applyBorder="1" applyAlignment="1" applyProtection="1">
      <alignment wrapText="1"/>
      <protection locked="0"/>
    </xf>
    <xf numFmtId="0" fontId="12" fillId="3" borderId="5" xfId="0" applyNumberFormat="1" applyFont="1" applyFill="1" applyBorder="1" applyAlignment="1" applyProtection="1">
      <alignment/>
      <protection/>
    </xf>
    <xf numFmtId="0" fontId="12" fillId="4" borderId="16" xfId="0" applyNumberFormat="1" applyFont="1" applyFill="1" applyBorder="1" applyAlignment="1" applyProtection="1">
      <alignment/>
      <protection/>
    </xf>
    <xf numFmtId="0" fontId="12" fillId="3" borderId="5" xfId="0" applyNumberFormat="1" applyFont="1" applyFill="1" applyBorder="1" applyAlignment="1">
      <alignment wrapText="1"/>
    </xf>
    <xf numFmtId="0" fontId="12" fillId="3" borderId="6" xfId="0" applyNumberFormat="1" applyFont="1" applyFill="1" applyBorder="1" applyAlignment="1">
      <alignment wrapText="1"/>
    </xf>
    <xf numFmtId="0" fontId="12" fillId="3" borderId="28" xfId="0" applyNumberFormat="1" applyFont="1" applyFill="1" applyBorder="1" applyAlignment="1">
      <alignment wrapText="1"/>
    </xf>
    <xf numFmtId="0" fontId="12" fillId="4" borderId="16" xfId="0" applyNumberFormat="1" applyFont="1" applyFill="1" applyBorder="1" applyAlignment="1" applyProtection="1">
      <alignment horizontal="left"/>
      <protection/>
    </xf>
    <xf numFmtId="0" fontId="12" fillId="4" borderId="17" xfId="0" applyNumberFormat="1" applyFont="1" applyFill="1" applyBorder="1" applyAlignment="1" applyProtection="1">
      <alignment/>
      <protection/>
    </xf>
    <xf numFmtId="0" fontId="12" fillId="4" borderId="18" xfId="0" applyNumberFormat="1" applyFont="1" applyFill="1" applyBorder="1" applyAlignment="1" applyProtection="1">
      <alignment horizontal="center"/>
      <protection/>
    </xf>
    <xf numFmtId="0" fontId="12" fillId="4" borderId="1" xfId="0" applyNumberFormat="1" applyFont="1" applyFill="1" applyBorder="1" applyAlignment="1" applyProtection="1">
      <alignment/>
      <protection locked="0"/>
    </xf>
    <xf numFmtId="0" fontId="12" fillId="4" borderId="5" xfId="0" applyNumberFormat="1" applyFont="1" applyFill="1" applyBorder="1" applyAlignment="1">
      <alignment/>
    </xf>
    <xf numFmtId="14" fontId="12" fillId="4" borderId="1" xfId="0" applyNumberFormat="1" applyFont="1" applyFill="1" applyBorder="1" applyAlignment="1" applyProtection="1">
      <alignment/>
      <protection locked="0"/>
    </xf>
    <xf numFmtId="0" fontId="12" fillId="4" borderId="29" xfId="0" applyNumberFormat="1" applyFont="1" applyFill="1" applyBorder="1" applyAlignment="1" applyProtection="1">
      <alignment/>
      <protection/>
    </xf>
    <xf numFmtId="0" fontId="12" fillId="3" borderId="30" xfId="0" applyNumberFormat="1" applyFont="1" applyFill="1" applyBorder="1" applyAlignment="1" applyProtection="1">
      <alignment wrapText="1"/>
      <protection/>
    </xf>
    <xf numFmtId="0" fontId="12" fillId="3" borderId="31" xfId="0" applyNumberFormat="1" applyFont="1" applyFill="1" applyBorder="1" applyAlignment="1">
      <alignment/>
    </xf>
    <xf numFmtId="0" fontId="12" fillId="4" borderId="31" xfId="0" applyNumberFormat="1" applyFont="1" applyFill="1" applyBorder="1" applyAlignment="1">
      <alignment/>
    </xf>
    <xf numFmtId="0" fontId="12" fillId="3" borderId="32" xfId="0" applyNumberFormat="1" applyFont="1" applyFill="1" applyBorder="1" applyAlignment="1">
      <alignment/>
    </xf>
    <xf numFmtId="0" fontId="12" fillId="4" borderId="0" xfId="0" applyNumberFormat="1" applyFont="1" applyFill="1" applyAlignment="1">
      <alignment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11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0" xfId="0" applyNumberFormat="1" applyFont="1" applyFill="1" applyAlignment="1" applyProtection="1">
      <alignment/>
      <protection/>
    </xf>
    <xf numFmtId="0" fontId="13" fillId="4" borderId="0" xfId="0" applyNumberFormat="1" applyFont="1" applyFill="1" applyAlignment="1" applyProtection="1">
      <alignment horizontal="left" vertical="center"/>
      <protection/>
    </xf>
    <xf numFmtId="0" fontId="13" fillId="4" borderId="0" xfId="0" applyNumberFormat="1" applyFont="1" applyFill="1" applyAlignment="1">
      <alignment vertical="center"/>
    </xf>
    <xf numFmtId="0" fontId="12" fillId="4" borderId="0" xfId="0" applyNumberFormat="1" applyFont="1" applyFill="1" applyAlignment="1">
      <alignment vertical="center"/>
    </xf>
    <xf numFmtId="0" fontId="12" fillId="4" borderId="0" xfId="0" applyNumberFormat="1" applyFont="1" applyFill="1" applyAlignment="1" applyProtection="1">
      <alignment horizontal="left" vertical="center"/>
      <protection/>
    </xf>
    <xf numFmtId="0" fontId="12" fillId="4" borderId="0" xfId="0" applyNumberFormat="1" applyFont="1" applyFill="1" applyBorder="1" applyAlignment="1" quotePrefix="1">
      <alignment horizontal="center" vertical="center" wrapText="1"/>
    </xf>
    <xf numFmtId="164" fontId="12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4" borderId="1" xfId="0" applyNumberFormat="1" applyFont="1" applyFill="1" applyBorder="1" applyAlignment="1" applyProtection="1">
      <alignment horizontal="right" vertical="center" wrapText="1"/>
      <protection/>
    </xf>
    <xf numFmtId="164" fontId="12" fillId="4" borderId="1" xfId="0" applyNumberFormat="1" applyFont="1" applyFill="1" applyBorder="1" applyAlignment="1">
      <alignment horizontal="righ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right" vertical="center" wrapText="1"/>
    </xf>
    <xf numFmtId="164" fontId="12" fillId="4" borderId="20" xfId="0" applyNumberFormat="1" applyFont="1" applyFill="1" applyBorder="1" applyAlignment="1" applyProtection="1" quotePrefix="1">
      <alignment horizontal="right" vertical="center" wrapText="1"/>
      <protection/>
    </xf>
    <xf numFmtId="164" fontId="12" fillId="4" borderId="20" xfId="0" applyNumberFormat="1" applyFont="1" applyFill="1" applyBorder="1" applyAlignment="1">
      <alignment horizontal="right" vertical="center" wrapText="1"/>
    </xf>
    <xf numFmtId="0" fontId="12" fillId="4" borderId="0" xfId="0" applyNumberFormat="1" applyFont="1" applyFill="1" applyBorder="1" applyAlignment="1" quotePrefix="1">
      <alignment horizontal="right" vertical="center" wrapText="1"/>
    </xf>
    <xf numFmtId="0" fontId="13" fillId="4" borderId="0" xfId="0" applyNumberFormat="1" applyFont="1" applyFill="1" applyBorder="1" applyAlignment="1">
      <alignment horizontal="right" vertical="center" wrapText="1"/>
    </xf>
    <xf numFmtId="0" fontId="13" fillId="4" borderId="0" xfId="0" applyNumberFormat="1" applyFont="1" applyFill="1" applyBorder="1" applyAlignment="1">
      <alignment horizontal="right" vertical="center"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right" vertical="center" wrapText="1"/>
    </xf>
    <xf numFmtId="0" fontId="12" fillId="4" borderId="0" xfId="0" applyNumberFormat="1" applyFont="1" applyFill="1" applyBorder="1" applyAlignment="1">
      <alignment horizontal="right" vertical="center"/>
    </xf>
    <xf numFmtId="0" fontId="12" fillId="4" borderId="17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Alignment="1">
      <alignment horizontal="left" vertical="center"/>
    </xf>
    <xf numFmtId="164" fontId="12" fillId="4" borderId="20" xfId="0" applyNumberFormat="1" applyFont="1" applyFill="1" applyBorder="1" applyAlignment="1" applyProtection="1">
      <alignment horizontal="right" vertical="center" wrapText="1"/>
      <protection/>
    </xf>
    <xf numFmtId="0" fontId="12" fillId="4" borderId="0" xfId="0" applyNumberFormat="1" applyFont="1" applyFill="1" applyAlignment="1">
      <alignment horizontal="right" vertical="center"/>
    </xf>
    <xf numFmtId="0" fontId="14" fillId="4" borderId="12" xfId="0" applyNumberFormat="1" applyFont="1" applyFill="1" applyBorder="1" applyAlignment="1">
      <alignment horizontal="center" vertical="center" wrapText="1"/>
    </xf>
    <xf numFmtId="0" fontId="14" fillId="4" borderId="0" xfId="0" applyNumberFormat="1" applyFont="1" applyFill="1" applyBorder="1" applyAlignment="1">
      <alignment horizontal="center" vertical="center" wrapText="1"/>
    </xf>
    <xf numFmtId="0" fontId="13" fillId="4" borderId="0" xfId="0" applyNumberFormat="1" applyFont="1" applyFill="1" applyAlignment="1">
      <alignment horizontal="left" vertical="center"/>
    </xf>
    <xf numFmtId="0" fontId="12" fillId="4" borderId="17" xfId="0" applyNumberFormat="1" applyFont="1" applyFill="1" applyBorder="1" applyAlignment="1">
      <alignment horizontal="right" vertical="center" wrapText="1"/>
    </xf>
    <xf numFmtId="0" fontId="12" fillId="4" borderId="12" xfId="0" applyNumberFormat="1" applyFont="1" applyFill="1" applyBorder="1" applyAlignment="1">
      <alignment horizontal="right" vertical="center" wrapText="1"/>
    </xf>
    <xf numFmtId="0" fontId="12" fillId="4" borderId="17" xfId="0" applyNumberFormat="1" applyFont="1" applyFill="1" applyBorder="1" applyAlignment="1">
      <alignment horizontal="right" vertical="center"/>
    </xf>
    <xf numFmtId="164" fontId="12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6" xfId="0" applyNumberFormat="1" applyFont="1" applyFill="1" applyBorder="1" applyAlignment="1">
      <alignment horizontal="center" vertical="center" wrapText="1"/>
    </xf>
    <xf numFmtId="164" fontId="12" fillId="4" borderId="20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0" xfId="0" applyNumberFormat="1" applyFont="1" applyFill="1" applyAlignment="1" applyProtection="1">
      <alignment horizontal="right"/>
      <protection/>
    </xf>
    <xf numFmtId="0" fontId="12" fillId="4" borderId="0" xfId="0" applyNumberFormat="1" applyFont="1" applyFill="1" applyBorder="1" applyAlignment="1">
      <alignment vertical="center"/>
    </xf>
    <xf numFmtId="164" fontId="12" fillId="4" borderId="1" xfId="0" applyNumberFormat="1" applyFont="1" applyFill="1" applyBorder="1" applyAlignment="1" applyProtection="1">
      <alignment horizontal="right" vertical="center"/>
      <protection locked="0"/>
    </xf>
    <xf numFmtId="164" fontId="12" fillId="4" borderId="1" xfId="0" applyNumberFormat="1" applyFont="1" applyFill="1" applyBorder="1" applyAlignment="1" applyProtection="1">
      <alignment horizontal="right" vertical="center"/>
      <protection/>
    </xf>
    <xf numFmtId="0" fontId="12" fillId="4" borderId="12" xfId="0" applyNumberFormat="1" applyFont="1" applyFill="1" applyBorder="1" applyAlignment="1">
      <alignment horizontal="right" vertical="center"/>
    </xf>
    <xf numFmtId="164" fontId="12" fillId="4" borderId="33" xfId="0" applyNumberFormat="1" applyFont="1" applyFill="1" applyBorder="1" applyAlignment="1" quotePrefix="1">
      <alignment horizontal="right" vertical="center" wrapText="1"/>
    </xf>
    <xf numFmtId="164" fontId="12" fillId="4" borderId="24" xfId="0" applyNumberFormat="1" applyFont="1" applyFill="1" applyBorder="1" applyAlignment="1">
      <alignment horizontal="right" vertical="center" wrapText="1"/>
    </xf>
    <xf numFmtId="164" fontId="12" fillId="4" borderId="34" xfId="0" applyNumberFormat="1" applyFont="1" applyFill="1" applyBorder="1" applyAlignment="1">
      <alignment horizontal="right" vertical="center" wrapText="1"/>
    </xf>
    <xf numFmtId="164" fontId="12" fillId="4" borderId="24" xfId="0" applyNumberFormat="1" applyFont="1" applyFill="1" applyBorder="1" applyAlignment="1" quotePrefix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4"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Fininfo\Section%20251\Section%2052%20Outturn%2020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mit Data"/>
      <sheetName val="Table A"/>
      <sheetName val="Table A1"/>
      <sheetName val="Table B"/>
      <sheetName val="Error Codes"/>
    </sheetNames>
    <sheetDataSet>
      <sheetData sheetId="3">
        <row r="14">
          <cell r="E14">
            <v>4254.45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6869.31</v>
          </cell>
          <cell r="U14">
            <v>0</v>
          </cell>
        </row>
        <row r="86">
          <cell r="E86">
            <v>15778.35</v>
          </cell>
          <cell r="L86">
            <v>40600</v>
          </cell>
          <cell r="M86">
            <v>7306.75</v>
          </cell>
          <cell r="N86">
            <v>23979.65</v>
          </cell>
          <cell r="R86">
            <v>362046.06</v>
          </cell>
          <cell r="S86">
            <v>518233.47000000003</v>
          </cell>
          <cell r="T86">
            <v>6516955.53</v>
          </cell>
          <cell r="U86">
            <v>23138.28</v>
          </cell>
        </row>
        <row r="109">
          <cell r="E109">
            <v>273326.27</v>
          </cell>
          <cell r="L109">
            <v>571868.98</v>
          </cell>
          <cell r="M109">
            <v>192887.2</v>
          </cell>
          <cell r="N109">
            <v>93075.72</v>
          </cell>
          <cell r="R109">
            <v>1451858.34</v>
          </cell>
          <cell r="S109">
            <v>1606864.78</v>
          </cell>
          <cell r="T109">
            <v>1419284.4599999997</v>
          </cell>
          <cell r="U109">
            <v>82692.16</v>
          </cell>
        </row>
        <row r="119">
          <cell r="E119">
            <v>-32603.589999999997</v>
          </cell>
          <cell r="L119">
            <v>66393.51</v>
          </cell>
          <cell r="M119">
            <v>10481.4</v>
          </cell>
          <cell r="N119">
            <v>6425.41</v>
          </cell>
          <cell r="R119">
            <v>30000</v>
          </cell>
          <cell r="S119">
            <v>133953</v>
          </cell>
          <cell r="T119">
            <v>597779.22</v>
          </cell>
          <cell r="U119">
            <v>-142973.63999999998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226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5.7109375" style="1" customWidth="1"/>
    <col min="2" max="2" width="54.140625" style="1" customWidth="1"/>
    <col min="3" max="9" width="11.421875" style="1" customWidth="1"/>
    <col min="10" max="10" width="5.28125" style="1" customWidth="1"/>
    <col min="11" max="14" width="11.421875" style="2" customWidth="1"/>
    <col min="15" max="15" width="3.140625" style="1" customWidth="1"/>
    <col min="16" max="22" width="11.421875" style="1" customWidth="1"/>
    <col min="23" max="23" width="3.421875" style="1" customWidth="1"/>
    <col min="24" max="24" width="11.421875" style="1" customWidth="1"/>
    <col min="25" max="27" width="9.57421875" style="1" customWidth="1"/>
    <col min="28" max="31" width="9.140625" style="1" customWidth="1"/>
    <col min="32" max="32" width="4.8515625" style="1" customWidth="1"/>
    <col min="33" max="39" width="9.140625" style="1" customWidth="1"/>
    <col min="40" max="40" width="9.140625" style="1" hidden="1" customWidth="1"/>
    <col min="41" max="41" width="5.421875" style="15" customWidth="1"/>
    <col min="42" max="42" width="9.140625" style="1" customWidth="1"/>
    <col min="43" max="53" width="10.140625" style="1" customWidth="1"/>
    <col min="54" max="16384" width="9.140625" style="1" customWidth="1"/>
  </cols>
  <sheetData>
    <row r="1" spans="40:41" ht="12.75">
      <c r="AN1" s="4" t="e">
        <f>SUM(AN3:AN179)</f>
        <v>#REF!</v>
      </c>
      <c r="AO1" s="5"/>
    </row>
    <row r="2" spans="1:40" ht="12.75">
      <c r="A2" s="6" t="s">
        <v>0</v>
      </c>
      <c r="B2" s="7"/>
      <c r="D2" s="8" t="s">
        <v>1</v>
      </c>
      <c r="E2" s="9" t="s">
        <v>2</v>
      </c>
      <c r="F2" s="10"/>
      <c r="G2" s="10"/>
      <c r="H2" s="11"/>
      <c r="I2" s="9" t="s">
        <v>3</v>
      </c>
      <c r="J2" s="11"/>
      <c r="K2" s="12">
        <v>312</v>
      </c>
      <c r="L2" s="13"/>
      <c r="AN2" s="14"/>
    </row>
    <row r="3" spans="1:40" ht="12.75">
      <c r="A3" s="16" t="s">
        <v>4</v>
      </c>
      <c r="B3" s="17"/>
      <c r="D3" s="8"/>
      <c r="E3" s="18"/>
      <c r="F3" s="19"/>
      <c r="G3" s="8"/>
      <c r="H3" s="20"/>
      <c r="I3" s="21"/>
      <c r="J3" s="21"/>
      <c r="K3" s="19"/>
      <c r="L3" s="22"/>
      <c r="AN3" s="23" t="e">
        <f>IF(LEN(TRIM(#REF!&amp;#REF!))&gt;0,1,0)</f>
        <v>#REF!</v>
      </c>
    </row>
    <row r="4" spans="1:40" ht="13.5" thickBot="1">
      <c r="A4" s="24" t="s">
        <v>7</v>
      </c>
      <c r="B4" s="25"/>
      <c r="D4" s="8"/>
      <c r="E4" s="26"/>
      <c r="F4" s="27"/>
      <c r="G4" s="8"/>
      <c r="H4" s="28"/>
      <c r="I4" s="9"/>
      <c r="J4" s="11"/>
      <c r="K4" s="29"/>
      <c r="L4" s="30"/>
      <c r="AN4" s="23" t="e">
        <f>IF(LEN(TRIM(#REF!&amp;#REF!&amp;#REF!))&gt;0,1,0)</f>
        <v>#REF!</v>
      </c>
    </row>
    <row r="5" ht="9" customHeight="1">
      <c r="AN5" s="4"/>
    </row>
    <row r="6" spans="1:40" ht="24.75" customHeight="1">
      <c r="A6" s="31" t="s">
        <v>11</v>
      </c>
      <c r="B6" s="31"/>
      <c r="C6" s="32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K6" s="33" t="s">
        <v>17</v>
      </c>
      <c r="L6" s="34" t="s">
        <v>18</v>
      </c>
      <c r="M6" s="35"/>
      <c r="N6" s="36"/>
      <c r="AN6" s="4"/>
    </row>
    <row r="7" spans="1:40" ht="24" customHeight="1">
      <c r="A7" s="37"/>
      <c r="B7" s="38"/>
      <c r="C7" s="39"/>
      <c r="D7" s="39"/>
      <c r="E7" s="39"/>
      <c r="F7" s="39"/>
      <c r="G7" s="39"/>
      <c r="K7" s="40"/>
      <c r="L7" s="41"/>
      <c r="M7" s="42"/>
      <c r="N7" s="43"/>
      <c r="AN7" s="4"/>
    </row>
    <row r="8" spans="1:40" ht="12.75" customHeight="1">
      <c r="A8" s="44"/>
      <c r="B8" s="45"/>
      <c r="C8" s="39"/>
      <c r="D8" s="39"/>
      <c r="E8" s="39"/>
      <c r="F8" s="39"/>
      <c r="G8" s="39"/>
      <c r="K8" s="40"/>
      <c r="L8" s="34" t="s">
        <v>19</v>
      </c>
      <c r="M8" s="36"/>
      <c r="N8" s="46" t="s">
        <v>20</v>
      </c>
      <c r="AN8" s="4"/>
    </row>
    <row r="9" spans="1:40" ht="12.75">
      <c r="A9" s="44"/>
      <c r="B9" s="45"/>
      <c r="C9" s="47" t="s">
        <v>21</v>
      </c>
      <c r="D9" s="48" t="s">
        <v>21</v>
      </c>
      <c r="E9" s="47" t="s">
        <v>21</v>
      </c>
      <c r="F9" s="47" t="s">
        <v>21</v>
      </c>
      <c r="G9" s="47" t="s">
        <v>21</v>
      </c>
      <c r="K9" s="49"/>
      <c r="L9" s="41"/>
      <c r="M9" s="43"/>
      <c r="N9" s="50"/>
      <c r="AN9" s="4"/>
    </row>
    <row r="10" spans="1:40" ht="12.75">
      <c r="A10" s="51" t="s">
        <v>22</v>
      </c>
      <c r="B10" s="52"/>
      <c r="C10" s="53" t="s">
        <v>23</v>
      </c>
      <c r="D10" s="54" t="s">
        <v>24</v>
      </c>
      <c r="E10" s="54" t="s">
        <v>25</v>
      </c>
      <c r="F10" s="54" t="s">
        <v>26</v>
      </c>
      <c r="G10" s="54" t="s">
        <v>27</v>
      </c>
      <c r="K10" s="55" t="s">
        <v>28</v>
      </c>
      <c r="L10" s="55" t="s">
        <v>29</v>
      </c>
      <c r="M10" s="47" t="s">
        <v>30</v>
      </c>
      <c r="N10" s="54" t="s">
        <v>28</v>
      </c>
      <c r="AN10" s="4"/>
    </row>
    <row r="11" spans="1:40" ht="12.75">
      <c r="A11" s="56" t="s">
        <v>31</v>
      </c>
      <c r="B11" s="56"/>
      <c r="C11" s="57"/>
      <c r="D11" s="58"/>
      <c r="E11" s="58"/>
      <c r="F11" s="58"/>
      <c r="G11" s="59"/>
      <c r="K11" s="60"/>
      <c r="L11" s="60"/>
      <c r="AN11" s="4"/>
    </row>
    <row r="12" spans="1:40" ht="12.75">
      <c r="A12" s="44">
        <v>1</v>
      </c>
      <c r="B12" s="45" t="s">
        <v>32</v>
      </c>
      <c r="C12" s="61">
        <v>198209</v>
      </c>
      <c r="D12" s="61">
        <v>47869488</v>
      </c>
      <c r="E12" s="61">
        <v>54297511</v>
      </c>
      <c r="F12" s="61">
        <v>4334713</v>
      </c>
      <c r="G12" s="62">
        <f>SUM(C12:F12)</f>
        <v>106699921</v>
      </c>
      <c r="AN12" s="23" t="e">
        <f>IF(LEN(TRIM(#REF!&amp;#REF!&amp;#REF!&amp;#REF!&amp;#REF!))&gt;0,1,0)</f>
        <v>#REF!</v>
      </c>
    </row>
    <row r="13" spans="1:40" ht="13.5" thickBot="1">
      <c r="A13" s="44">
        <v>2</v>
      </c>
      <c r="B13" s="45" t="s">
        <v>33</v>
      </c>
      <c r="C13" s="61">
        <v>24500</v>
      </c>
      <c r="D13" s="61">
        <v>978201</v>
      </c>
      <c r="E13" s="61">
        <v>198857</v>
      </c>
      <c r="F13" s="61">
        <v>71520</v>
      </c>
      <c r="G13" s="62">
        <f>SUM(C13:F13)</f>
        <v>1273078</v>
      </c>
      <c r="AN13" s="23" t="e">
        <f>IF(LEN(TRIM(#REF!&amp;#REF!&amp;#REF!&amp;#REF!&amp;#REF!))&gt;0,1,0)</f>
        <v>#REF!</v>
      </c>
    </row>
    <row r="14" spans="1:40" ht="13.5" thickBot="1">
      <c r="A14" s="44">
        <v>3</v>
      </c>
      <c r="B14" s="64" t="s">
        <v>34</v>
      </c>
      <c r="C14" s="65">
        <f>SUM(C12:C13)</f>
        <v>222709</v>
      </c>
      <c r="D14" s="65">
        <f>SUM(D12:D13)</f>
        <v>48847689</v>
      </c>
      <c r="E14" s="66">
        <f>SUM(E12:E13)</f>
        <v>54496368</v>
      </c>
      <c r="F14" s="66">
        <f>SUM(F12:F13)</f>
        <v>4406233</v>
      </c>
      <c r="G14" s="66">
        <f>SUM(C14:F14)</f>
        <v>107972999</v>
      </c>
      <c r="H14" s="45"/>
      <c r="K14" s="67">
        <v>104912705</v>
      </c>
      <c r="L14" s="68">
        <v>0</v>
      </c>
      <c r="M14" s="68">
        <v>0.15</v>
      </c>
      <c r="N14" s="67">
        <v>1000000</v>
      </c>
      <c r="AN14" s="23" t="e">
        <f>IF(LEN(TRIM(#REF!&amp;#REF!&amp;#REF!&amp;#REF!&amp;#REF!))&gt;0,1,0)</f>
        <v>#REF!</v>
      </c>
    </row>
    <row r="15" spans="1:40" ht="12.75">
      <c r="A15" s="44"/>
      <c r="B15" s="45"/>
      <c r="C15" s="69"/>
      <c r="D15" s="69"/>
      <c r="E15" s="69"/>
      <c r="F15" s="69"/>
      <c r="G15" s="69"/>
      <c r="H15" s="45"/>
      <c r="K15" s="70"/>
      <c r="L15" s="70"/>
      <c r="M15" s="71"/>
      <c r="N15" s="70"/>
      <c r="AB15" s="2"/>
      <c r="AN15" s="23" t="e">
        <f>IF(LEN(TRIM(#REF!&amp;#REF!&amp;#REF!&amp;#REF!&amp;#REF!))&gt;0,1,0)</f>
        <v>#REF!</v>
      </c>
    </row>
    <row r="16" spans="1:40" ht="12.75">
      <c r="A16" s="44">
        <v>4</v>
      </c>
      <c r="B16" s="45" t="s">
        <v>35</v>
      </c>
      <c r="C16" s="61">
        <v>317795</v>
      </c>
      <c r="D16" s="61">
        <v>18085399</v>
      </c>
      <c r="E16" s="61">
        <v>9501571</v>
      </c>
      <c r="F16" s="61">
        <v>3291071</v>
      </c>
      <c r="G16" s="62">
        <f>SUM(C16:F16)</f>
        <v>31195836</v>
      </c>
      <c r="H16" s="45"/>
      <c r="AN16" s="23" t="e">
        <f>IF(LEN(TRIM(#REF!&amp;#REF!&amp;#REF!&amp;#REF!&amp;#REF!))&gt;0,1,0)</f>
        <v>#REF!</v>
      </c>
    </row>
    <row r="17" spans="1:40" ht="12.75">
      <c r="A17" s="15"/>
      <c r="B17" s="15"/>
      <c r="AN17" s="4"/>
    </row>
    <row r="18" spans="1:40" s="2" customFormat="1" ht="12.75">
      <c r="A18" s="72" t="s">
        <v>36</v>
      </c>
      <c r="B18" s="72"/>
      <c r="C18" s="73"/>
      <c r="D18" s="60"/>
      <c r="E18" s="60"/>
      <c r="F18" s="60"/>
      <c r="G18" s="60"/>
      <c r="AN18" s="4"/>
    </row>
    <row r="19" spans="1:40" s="2" customFormat="1" ht="12.75">
      <c r="A19" s="74"/>
      <c r="B19" s="74"/>
      <c r="C19" s="73"/>
      <c r="D19" s="75"/>
      <c r="E19" s="75"/>
      <c r="F19" s="75"/>
      <c r="G19" s="75"/>
      <c r="H19" s="60"/>
      <c r="AN19" s="4"/>
    </row>
    <row r="20" spans="1:40" s="2" customFormat="1" ht="12.75">
      <c r="A20" s="44">
        <v>5</v>
      </c>
      <c r="B20" s="45" t="s">
        <v>37</v>
      </c>
      <c r="C20" s="61">
        <v>26911</v>
      </c>
      <c r="D20" s="61">
        <v>3519622</v>
      </c>
      <c r="E20" s="61">
        <v>2603416</v>
      </c>
      <c r="F20" s="61">
        <v>309987</v>
      </c>
      <c r="G20" s="62">
        <f aca="true" t="shared" si="0" ref="G20:G28">SUM(C20:F20)</f>
        <v>6459936</v>
      </c>
      <c r="AN20" s="23" t="e">
        <f>IF(LEN(TRIM(#REF!&amp;#REF!&amp;#REF!&amp;#REF!&amp;#REF!))&gt;0,1,0)</f>
        <v>#REF!</v>
      </c>
    </row>
    <row r="21" spans="1:40" s="2" customFormat="1" ht="12.75">
      <c r="A21" s="44">
        <v>6</v>
      </c>
      <c r="B21" s="45" t="s">
        <v>38</v>
      </c>
      <c r="C21" s="61">
        <v>36389</v>
      </c>
      <c r="D21" s="61">
        <v>3715201</v>
      </c>
      <c r="E21" s="61">
        <v>5384731</v>
      </c>
      <c r="F21" s="61">
        <v>315205</v>
      </c>
      <c r="G21" s="62">
        <f t="shared" si="0"/>
        <v>9451526</v>
      </c>
      <c r="AN21" s="23" t="e">
        <f>IF(LEN(TRIM(#REF!&amp;#REF!&amp;#REF!&amp;#REF!&amp;#REF!))&gt;0,1,0)</f>
        <v>#REF!</v>
      </c>
    </row>
    <row r="22" spans="1:40" s="2" customFormat="1" ht="12.75">
      <c r="A22" s="44">
        <v>7</v>
      </c>
      <c r="B22" s="45" t="s">
        <v>39</v>
      </c>
      <c r="C22" s="61">
        <v>11155</v>
      </c>
      <c r="D22" s="61">
        <v>262898</v>
      </c>
      <c r="E22" s="61">
        <v>1013499</v>
      </c>
      <c r="F22" s="61">
        <v>121502</v>
      </c>
      <c r="G22" s="62">
        <f t="shared" si="0"/>
        <v>1409054</v>
      </c>
      <c r="AN22" s="23" t="e">
        <f>IF(LEN(TRIM(#REF!&amp;#REF!&amp;#REF!&amp;#REF!&amp;#REF!))&gt;0,1,0)</f>
        <v>#REF!</v>
      </c>
    </row>
    <row r="23" spans="1:40" s="2" customFormat="1" ht="12.75">
      <c r="A23" s="44">
        <v>8</v>
      </c>
      <c r="B23" s="45" t="s">
        <v>40</v>
      </c>
      <c r="C23" s="61">
        <v>2760</v>
      </c>
      <c r="D23" s="61">
        <v>1746819</v>
      </c>
      <c r="E23" s="61">
        <v>360003</v>
      </c>
      <c r="F23" s="61">
        <v>152324</v>
      </c>
      <c r="G23" s="62">
        <f t="shared" si="0"/>
        <v>2261906</v>
      </c>
      <c r="AN23" s="23" t="e">
        <f>IF(LEN(TRIM(#REF!&amp;#REF!&amp;#REF!&amp;#REF!&amp;#REF!))&gt;0,1,0)</f>
        <v>#REF!</v>
      </c>
    </row>
    <row r="24" spans="1:40" s="2" customFormat="1" ht="12.75">
      <c r="A24" s="44">
        <v>9</v>
      </c>
      <c r="B24" s="45" t="s">
        <v>41</v>
      </c>
      <c r="C24" s="61">
        <v>1731</v>
      </c>
      <c r="D24" s="61">
        <v>199346</v>
      </c>
      <c r="E24" s="61">
        <v>517908</v>
      </c>
      <c r="F24" s="61">
        <v>51301</v>
      </c>
      <c r="G24" s="62">
        <f t="shared" si="0"/>
        <v>770286</v>
      </c>
      <c r="AN24" s="23" t="e">
        <f>IF(LEN(TRIM(#REF!&amp;#REF!&amp;#REF!&amp;#REF!&amp;#REF!))&gt;0,1,0)</f>
        <v>#REF!</v>
      </c>
    </row>
    <row r="25" spans="1:40" s="2" customFormat="1" ht="12.75">
      <c r="A25" s="44">
        <v>10</v>
      </c>
      <c r="B25" s="45" t="s">
        <v>42</v>
      </c>
      <c r="C25" s="61">
        <v>7019</v>
      </c>
      <c r="D25" s="61">
        <v>457055</v>
      </c>
      <c r="E25" s="61">
        <v>586222</v>
      </c>
      <c r="F25" s="61">
        <v>119622</v>
      </c>
      <c r="G25" s="62">
        <f t="shared" si="0"/>
        <v>1169918</v>
      </c>
      <c r="AN25" s="23" t="e">
        <f>IF(LEN(TRIM(#REF!&amp;#REF!&amp;#REF!&amp;#REF!&amp;#REF!))&gt;0,1,0)</f>
        <v>#REF!</v>
      </c>
    </row>
    <row r="26" spans="1:40" s="2" customFormat="1" ht="12.75">
      <c r="A26" s="44">
        <v>11</v>
      </c>
      <c r="B26" s="45" t="s">
        <v>43</v>
      </c>
      <c r="C26" s="61">
        <v>432</v>
      </c>
      <c r="D26" s="61">
        <v>410365</v>
      </c>
      <c r="E26" s="61">
        <v>77140</v>
      </c>
      <c r="F26" s="61">
        <v>14262</v>
      </c>
      <c r="G26" s="62">
        <f t="shared" si="0"/>
        <v>502199</v>
      </c>
      <c r="AN26" s="23" t="e">
        <f>IF(LEN(TRIM(#REF!&amp;#REF!&amp;#REF!&amp;#REF!&amp;#REF!))&gt;0,1,0)</f>
        <v>#REF!</v>
      </c>
    </row>
    <row r="27" spans="1:40" s="2" customFormat="1" ht="13.5" thickBot="1">
      <c r="A27" s="44">
        <v>12</v>
      </c>
      <c r="B27" s="45" t="s">
        <v>44</v>
      </c>
      <c r="C27" s="61">
        <v>0</v>
      </c>
      <c r="D27" s="61">
        <v>157876</v>
      </c>
      <c r="E27" s="61">
        <v>86492</v>
      </c>
      <c r="F27" s="61">
        <v>21057</v>
      </c>
      <c r="G27" s="62">
        <f t="shared" si="0"/>
        <v>265425</v>
      </c>
      <c r="AN27" s="23" t="e">
        <f>IF(LEN(TRIM(#REF!&amp;#REF!&amp;#REF!&amp;#REF!&amp;#REF!))&gt;0,1,0)</f>
        <v>#REF!</v>
      </c>
    </row>
    <row r="28" spans="1:40" s="2" customFormat="1" ht="13.5" thickBot="1">
      <c r="A28" s="44">
        <v>13</v>
      </c>
      <c r="B28" s="64" t="s">
        <v>45</v>
      </c>
      <c r="C28" s="65">
        <f>SUM(C20:C27)</f>
        <v>86397</v>
      </c>
      <c r="D28" s="65">
        <f>SUM(D20:D27)</f>
        <v>10469182</v>
      </c>
      <c r="E28" s="66">
        <f>SUM(E20:E27)</f>
        <v>10629411</v>
      </c>
      <c r="F28" s="66">
        <f>SUM(F20:F27)</f>
        <v>1105260</v>
      </c>
      <c r="G28" s="66">
        <f t="shared" si="0"/>
        <v>22290250</v>
      </c>
      <c r="H28" s="45"/>
      <c r="K28" s="67">
        <v>20409482</v>
      </c>
      <c r="L28" s="68">
        <v>0</v>
      </c>
      <c r="M28" s="68">
        <v>0.15</v>
      </c>
      <c r="N28" s="67">
        <v>1000000</v>
      </c>
      <c r="AN28" s="23" t="e">
        <f>IF(LEN(TRIM(#REF!&amp;#REF!&amp;#REF!&amp;#REF!&amp;#REF!))&gt;0,1,0)</f>
        <v>#REF!</v>
      </c>
    </row>
    <row r="29" spans="1:40" ht="12.75">
      <c r="A29" s="15"/>
      <c r="B29" s="15"/>
      <c r="AN29" s="4"/>
    </row>
    <row r="30" spans="1:40" ht="12.75">
      <c r="A30" s="72" t="s">
        <v>46</v>
      </c>
      <c r="B30" s="72"/>
      <c r="C30" s="73"/>
      <c r="D30" s="2"/>
      <c r="E30" s="2"/>
      <c r="F30" s="2"/>
      <c r="G30" s="2"/>
      <c r="H30" s="2"/>
      <c r="AN30" s="4"/>
    </row>
    <row r="31" spans="1:40" ht="12.75">
      <c r="A31" s="74"/>
      <c r="B31" s="74"/>
      <c r="C31" s="73"/>
      <c r="D31" s="2"/>
      <c r="E31" s="2"/>
      <c r="F31" s="2"/>
      <c r="G31" s="2"/>
      <c r="H31" s="2"/>
      <c r="AN31" s="4"/>
    </row>
    <row r="32" spans="1:40" ht="12.75">
      <c r="A32" s="44">
        <v>14</v>
      </c>
      <c r="B32" s="45" t="s">
        <v>47</v>
      </c>
      <c r="C32" s="61">
        <v>5392</v>
      </c>
      <c r="D32" s="61">
        <v>2789853</v>
      </c>
      <c r="E32" s="61">
        <v>2244173</v>
      </c>
      <c r="F32" s="61">
        <v>128740</v>
      </c>
      <c r="G32" s="62">
        <f aca="true" t="shared" si="1" ref="G32:G52">SUM(C32:F32)</f>
        <v>5168158</v>
      </c>
      <c r="H32" s="2"/>
      <c r="AN32" s="23" t="e">
        <f>IF(LEN(TRIM(#REF!&amp;#REF!&amp;#REF!&amp;#REF!&amp;#REF!))&gt;0,1,0)</f>
        <v>#REF!</v>
      </c>
    </row>
    <row r="33" spans="1:40" ht="12.75">
      <c r="A33" s="44">
        <v>15</v>
      </c>
      <c r="B33" s="45" t="s">
        <v>48</v>
      </c>
      <c r="C33" s="61">
        <v>835</v>
      </c>
      <c r="D33" s="61">
        <v>674194</v>
      </c>
      <c r="E33" s="61">
        <v>238731</v>
      </c>
      <c r="F33" s="61">
        <v>19848</v>
      </c>
      <c r="G33" s="62">
        <f t="shared" si="1"/>
        <v>933608</v>
      </c>
      <c r="H33" s="2"/>
      <c r="AN33" s="23" t="e">
        <f>IF(LEN(TRIM(#REF!&amp;#REF!&amp;#REF!&amp;#REF!&amp;#REF!))&gt;0,1,0)</f>
        <v>#REF!</v>
      </c>
    </row>
    <row r="34" spans="1:40" ht="12.75">
      <c r="A34" s="44">
        <v>16</v>
      </c>
      <c r="B34" s="45" t="s">
        <v>49</v>
      </c>
      <c r="C34" s="61">
        <v>1242</v>
      </c>
      <c r="D34" s="61">
        <v>366437</v>
      </c>
      <c r="E34" s="61">
        <v>617355</v>
      </c>
      <c r="F34" s="61">
        <v>10840</v>
      </c>
      <c r="G34" s="62">
        <f t="shared" si="1"/>
        <v>995874</v>
      </c>
      <c r="H34" s="2"/>
      <c r="AN34" s="23" t="e">
        <f>IF(LEN(TRIM(#REF!&amp;#REF!&amp;#REF!&amp;#REF!&amp;#REF!))&gt;0,1,0)</f>
        <v>#REF!</v>
      </c>
    </row>
    <row r="35" spans="1:40" ht="12.75">
      <c r="A35" s="44">
        <v>17</v>
      </c>
      <c r="B35" s="45" t="s">
        <v>50</v>
      </c>
      <c r="C35" s="61">
        <v>0</v>
      </c>
      <c r="D35" s="61">
        <v>172950</v>
      </c>
      <c r="E35" s="61">
        <v>106956</v>
      </c>
      <c r="F35" s="61">
        <v>11157</v>
      </c>
      <c r="G35" s="62">
        <f t="shared" si="1"/>
        <v>291063</v>
      </c>
      <c r="H35" s="2"/>
      <c r="AN35" s="23" t="e">
        <f>IF(LEN(TRIM(#REF!&amp;#REF!&amp;#REF!&amp;#REF!&amp;#REF!))&gt;0,1,0)</f>
        <v>#REF!</v>
      </c>
    </row>
    <row r="36" spans="1:40" ht="12.75">
      <c r="A36" s="44">
        <v>18</v>
      </c>
      <c r="B36" s="45" t="s">
        <v>51</v>
      </c>
      <c r="C36" s="61">
        <v>12293</v>
      </c>
      <c r="D36" s="61">
        <v>1691229</v>
      </c>
      <c r="E36" s="61">
        <v>1576024</v>
      </c>
      <c r="F36" s="61">
        <v>132143</v>
      </c>
      <c r="G36" s="62">
        <f t="shared" si="1"/>
        <v>3411689</v>
      </c>
      <c r="H36" s="2"/>
      <c r="AN36" s="23" t="e">
        <f>IF(LEN(TRIM(#REF!&amp;#REF!&amp;#REF!&amp;#REF!&amp;#REF!))&gt;0,1,0)</f>
        <v>#REF!</v>
      </c>
    </row>
    <row r="37" spans="1:40" ht="12.75">
      <c r="A37" s="44">
        <v>19</v>
      </c>
      <c r="B37" s="45" t="s">
        <v>52</v>
      </c>
      <c r="C37" s="61">
        <v>9895</v>
      </c>
      <c r="D37" s="61">
        <v>944111</v>
      </c>
      <c r="E37" s="61">
        <v>453426</v>
      </c>
      <c r="F37" s="61">
        <v>0</v>
      </c>
      <c r="G37" s="62">
        <f t="shared" si="1"/>
        <v>1407432</v>
      </c>
      <c r="H37" s="2"/>
      <c r="AN37" s="23" t="e">
        <f>IF(LEN(TRIM(#REF!&amp;#REF!&amp;#REF!&amp;#REF!&amp;#REF!))&gt;0,1,0)</f>
        <v>#REF!</v>
      </c>
    </row>
    <row r="38" spans="1:40" ht="12.75">
      <c r="A38" s="44">
        <v>20</v>
      </c>
      <c r="B38" s="45" t="s">
        <v>53</v>
      </c>
      <c r="C38" s="61">
        <v>5183</v>
      </c>
      <c r="D38" s="61">
        <v>558651</v>
      </c>
      <c r="E38" s="61">
        <v>479551</v>
      </c>
      <c r="F38" s="61">
        <v>29235</v>
      </c>
      <c r="G38" s="62">
        <f t="shared" si="1"/>
        <v>1072620</v>
      </c>
      <c r="H38" s="2"/>
      <c r="AN38" s="23" t="e">
        <f>IF(LEN(TRIM(#REF!&amp;#REF!&amp;#REF!&amp;#REF!&amp;#REF!))&gt;0,1,0)</f>
        <v>#REF!</v>
      </c>
    </row>
    <row r="39" spans="1:40" ht="12.75">
      <c r="A39" s="44">
        <v>21</v>
      </c>
      <c r="B39" s="45" t="s">
        <v>54</v>
      </c>
      <c r="C39" s="61">
        <v>11826</v>
      </c>
      <c r="D39" s="61">
        <v>4293166</v>
      </c>
      <c r="E39" s="61">
        <v>4677438</v>
      </c>
      <c r="F39" s="61">
        <v>314755</v>
      </c>
      <c r="G39" s="62">
        <f t="shared" si="1"/>
        <v>9297185</v>
      </c>
      <c r="H39" s="2"/>
      <c r="AN39" s="23" t="e">
        <f>IF(LEN(TRIM(#REF!&amp;#REF!&amp;#REF!&amp;#REF!&amp;#REF!))&gt;0,1,0)</f>
        <v>#REF!</v>
      </c>
    </row>
    <row r="40" spans="1:40" ht="12.75">
      <c r="A40" s="44">
        <v>22</v>
      </c>
      <c r="B40" s="45" t="s">
        <v>55</v>
      </c>
      <c r="C40" s="61">
        <v>5379</v>
      </c>
      <c r="D40" s="61">
        <v>1810285</v>
      </c>
      <c r="E40" s="61">
        <v>1840254</v>
      </c>
      <c r="F40" s="61">
        <v>75516</v>
      </c>
      <c r="G40" s="62">
        <f t="shared" si="1"/>
        <v>3731434</v>
      </c>
      <c r="H40" s="2"/>
      <c r="AN40" s="23" t="e">
        <f>IF(LEN(TRIM(#REF!&amp;#REF!&amp;#REF!&amp;#REF!&amp;#REF!))&gt;0,1,0)</f>
        <v>#REF!</v>
      </c>
    </row>
    <row r="41" spans="1:40" ht="12.75">
      <c r="A41" s="44">
        <v>23</v>
      </c>
      <c r="B41" s="45" t="s">
        <v>56</v>
      </c>
      <c r="C41" s="61">
        <v>0</v>
      </c>
      <c r="D41" s="61">
        <v>0</v>
      </c>
      <c r="E41" s="61">
        <v>1816816</v>
      </c>
      <c r="F41" s="61">
        <v>7185</v>
      </c>
      <c r="G41" s="62">
        <f t="shared" si="1"/>
        <v>1824001</v>
      </c>
      <c r="H41" s="2"/>
      <c r="AN41" s="23" t="e">
        <f>IF(LEN(TRIM(#REF!&amp;#REF!&amp;#REF!&amp;#REF!&amp;#REF!))&gt;0,1,0)</f>
        <v>#REF!</v>
      </c>
    </row>
    <row r="42" spans="1:40" ht="12.75">
      <c r="A42" s="44">
        <v>24</v>
      </c>
      <c r="B42" s="45" t="s">
        <v>57</v>
      </c>
      <c r="C42" s="61">
        <v>12161</v>
      </c>
      <c r="D42" s="61">
        <v>1251254</v>
      </c>
      <c r="E42" s="61">
        <v>2047576</v>
      </c>
      <c r="F42" s="61">
        <v>129838</v>
      </c>
      <c r="G42" s="62">
        <f t="shared" si="1"/>
        <v>3440829</v>
      </c>
      <c r="H42" s="2"/>
      <c r="AN42" s="23" t="e">
        <f>IF(LEN(TRIM(#REF!&amp;#REF!&amp;#REF!&amp;#REF!&amp;#REF!))&gt;0,1,0)</f>
        <v>#REF!</v>
      </c>
    </row>
    <row r="43" spans="1:40" ht="12.75">
      <c r="A43" s="44">
        <v>25</v>
      </c>
      <c r="B43" s="45" t="s">
        <v>58</v>
      </c>
      <c r="C43" s="61">
        <v>2653</v>
      </c>
      <c r="D43" s="61">
        <v>533296</v>
      </c>
      <c r="E43" s="61">
        <v>652740</v>
      </c>
      <c r="F43" s="61">
        <v>47667</v>
      </c>
      <c r="G43" s="62">
        <f t="shared" si="1"/>
        <v>1236356</v>
      </c>
      <c r="H43" s="2"/>
      <c r="AN43" s="23" t="e">
        <f>IF(LEN(TRIM(#REF!&amp;#REF!&amp;#REF!&amp;#REF!&amp;#REF!))&gt;0,1,0)</f>
        <v>#REF!</v>
      </c>
    </row>
    <row r="44" spans="1:40" ht="12.75">
      <c r="A44" s="44">
        <v>26</v>
      </c>
      <c r="B44" s="45" t="s">
        <v>59</v>
      </c>
      <c r="C44" s="61">
        <v>0</v>
      </c>
      <c r="D44" s="61">
        <v>190545</v>
      </c>
      <c r="E44" s="61">
        <v>923148</v>
      </c>
      <c r="F44" s="61">
        <v>0</v>
      </c>
      <c r="G44" s="62">
        <f t="shared" si="1"/>
        <v>1113693</v>
      </c>
      <c r="H44" s="2"/>
      <c r="AN44" s="23" t="e">
        <f>IF(LEN(TRIM(#REF!&amp;#REF!&amp;#REF!&amp;#REF!&amp;#REF!))&gt;0,1,0)</f>
        <v>#REF!</v>
      </c>
    </row>
    <row r="45" spans="1:40" ht="12.75">
      <c r="A45" s="44">
        <v>27</v>
      </c>
      <c r="B45" s="45" t="s">
        <v>60</v>
      </c>
      <c r="C45" s="61">
        <v>9382</v>
      </c>
      <c r="D45" s="61">
        <v>1608746</v>
      </c>
      <c r="E45" s="61">
        <v>1842329</v>
      </c>
      <c r="F45" s="61">
        <v>154032</v>
      </c>
      <c r="G45" s="62">
        <f t="shared" si="1"/>
        <v>3614489</v>
      </c>
      <c r="H45" s="2"/>
      <c r="AN45" s="23" t="e">
        <f>IF(LEN(TRIM(#REF!&amp;#REF!&amp;#REF!&amp;#REF!&amp;#REF!))&gt;0,1,0)</f>
        <v>#REF!</v>
      </c>
    </row>
    <row r="46" spans="1:40" ht="12.75">
      <c r="A46" s="44">
        <v>28</v>
      </c>
      <c r="B46" s="45" t="s">
        <v>61</v>
      </c>
      <c r="C46" s="61">
        <v>0</v>
      </c>
      <c r="D46" s="61">
        <v>2212166</v>
      </c>
      <c r="E46" s="61">
        <v>2078392</v>
      </c>
      <c r="F46" s="61">
        <v>83314</v>
      </c>
      <c r="G46" s="62">
        <f t="shared" si="1"/>
        <v>4373872</v>
      </c>
      <c r="H46" s="2"/>
      <c r="AN46" s="23" t="e">
        <f>IF(LEN(TRIM(#REF!&amp;#REF!&amp;#REF!&amp;#REF!&amp;#REF!))&gt;0,1,0)</f>
        <v>#REF!</v>
      </c>
    </row>
    <row r="47" spans="1:40" ht="12.75">
      <c r="A47" s="44">
        <v>29</v>
      </c>
      <c r="B47" s="45" t="s">
        <v>62</v>
      </c>
      <c r="C47" s="61">
        <v>128</v>
      </c>
      <c r="D47" s="61">
        <v>423893</v>
      </c>
      <c r="E47" s="61">
        <v>878733</v>
      </c>
      <c r="F47" s="61">
        <v>107293</v>
      </c>
      <c r="G47" s="62">
        <f t="shared" si="1"/>
        <v>1410047</v>
      </c>
      <c r="H47" s="2"/>
      <c r="AN47" s="23" t="e">
        <f>IF(LEN(TRIM(#REF!&amp;#REF!&amp;#REF!&amp;#REF!&amp;#REF!))&gt;0,1,0)</f>
        <v>#REF!</v>
      </c>
    </row>
    <row r="48" spans="1:40" ht="12.75">
      <c r="A48" s="44">
        <v>30</v>
      </c>
      <c r="B48" s="45" t="s">
        <v>63</v>
      </c>
      <c r="C48" s="61">
        <v>12228</v>
      </c>
      <c r="D48" s="61">
        <v>1211130</v>
      </c>
      <c r="E48" s="61">
        <v>936660</v>
      </c>
      <c r="F48" s="61">
        <v>205415</v>
      </c>
      <c r="G48" s="62">
        <f t="shared" si="1"/>
        <v>2365433</v>
      </c>
      <c r="H48" s="2"/>
      <c r="AN48" s="23" t="e">
        <f>IF(LEN(TRIM(#REF!&amp;#REF!&amp;#REF!&amp;#REF!&amp;#REF!))&gt;0,1,0)</f>
        <v>#REF!</v>
      </c>
    </row>
    <row r="49" spans="1:40" ht="12.75">
      <c r="A49" s="44">
        <v>31</v>
      </c>
      <c r="B49" s="45" t="s">
        <v>64</v>
      </c>
      <c r="C49" s="61">
        <v>0</v>
      </c>
      <c r="D49" s="61">
        <v>840</v>
      </c>
      <c r="E49" s="61">
        <v>23612</v>
      </c>
      <c r="F49" s="61">
        <v>3249</v>
      </c>
      <c r="G49" s="62">
        <f t="shared" si="1"/>
        <v>27701</v>
      </c>
      <c r="H49" s="60"/>
      <c r="AN49" s="23" t="e">
        <f>IF(LEN(TRIM(#REF!&amp;#REF!&amp;#REF!&amp;#REF!&amp;#REF!))&gt;0,1,0)</f>
        <v>#REF!</v>
      </c>
    </row>
    <row r="50" spans="1:40" ht="12.75">
      <c r="A50" s="44">
        <v>32</v>
      </c>
      <c r="B50" s="45" t="s">
        <v>65</v>
      </c>
      <c r="C50" s="61">
        <v>4254</v>
      </c>
      <c r="D50" s="61">
        <v>14609</v>
      </c>
      <c r="E50" s="61">
        <v>301544</v>
      </c>
      <c r="F50" s="61">
        <v>98242</v>
      </c>
      <c r="G50" s="62">
        <f t="shared" si="1"/>
        <v>418649</v>
      </c>
      <c r="H50" s="60"/>
      <c r="AN50" s="23" t="e">
        <f>IF(LEN(TRIM(#REF!&amp;#REF!&amp;#REF!&amp;#REF!&amp;#REF!))&gt;0,1,0)</f>
        <v>#REF!</v>
      </c>
    </row>
    <row r="51" spans="1:40" ht="13.5" thickBot="1">
      <c r="A51" s="44">
        <v>33</v>
      </c>
      <c r="B51" s="45" t="s">
        <v>66</v>
      </c>
      <c r="C51" s="77">
        <v>0</v>
      </c>
      <c r="D51" s="77">
        <v>9318</v>
      </c>
      <c r="E51" s="77">
        <v>175053</v>
      </c>
      <c r="F51" s="77">
        <v>29035</v>
      </c>
      <c r="G51" s="62">
        <f t="shared" si="1"/>
        <v>213406</v>
      </c>
      <c r="H51" s="60"/>
      <c r="AN51" s="23" t="e">
        <f>IF(LEN(TRIM(#REF!&amp;#REF!&amp;#REF!&amp;#REF!&amp;#REF!))&gt;0,1,0)</f>
        <v>#REF!</v>
      </c>
    </row>
    <row r="52" spans="1:40" ht="13.5" thickBot="1">
      <c r="A52" s="44">
        <v>34</v>
      </c>
      <c r="B52" s="64" t="s">
        <v>67</v>
      </c>
      <c r="C52" s="66">
        <f>SUM(C32:C51)</f>
        <v>92851</v>
      </c>
      <c r="D52" s="66">
        <f>SUM(D32:D51)</f>
        <v>20756673</v>
      </c>
      <c r="E52" s="66">
        <f>SUM(E32:E51)</f>
        <v>23910511</v>
      </c>
      <c r="F52" s="66">
        <f>SUM(F32:F51)</f>
        <v>1587504</v>
      </c>
      <c r="G52" s="66">
        <f t="shared" si="1"/>
        <v>46347539</v>
      </c>
      <c r="H52" s="45"/>
      <c r="K52" s="67">
        <v>43725796</v>
      </c>
      <c r="L52" s="68">
        <v>0</v>
      </c>
      <c r="M52" s="68">
        <v>0.15</v>
      </c>
      <c r="N52" s="67">
        <v>1000000</v>
      </c>
      <c r="AN52" s="23" t="e">
        <f>IF(LEN(TRIM(#REF!&amp;#REF!&amp;#REF!&amp;#REF!&amp;#REF!))&gt;0,1,0)</f>
        <v>#REF!</v>
      </c>
    </row>
    <row r="53" spans="1:40" ht="13.5" thickBot="1">
      <c r="A53" s="15"/>
      <c r="B53" s="15"/>
      <c r="AN53" s="4"/>
    </row>
    <row r="54" spans="1:40" s="2" customFormat="1" ht="13.5" thickBot="1">
      <c r="A54" s="44">
        <v>35</v>
      </c>
      <c r="B54" s="64" t="s">
        <v>68</v>
      </c>
      <c r="C54" s="65">
        <f>SUM(C14,C16,C28,C52)</f>
        <v>719752</v>
      </c>
      <c r="D54" s="65">
        <f>SUM(D14,D16,D28,D52)</f>
        <v>98158943</v>
      </c>
      <c r="E54" s="66">
        <f>SUM(E14,E16,E28,E52)</f>
        <v>98537861</v>
      </c>
      <c r="F54" s="66">
        <f>SUM(F14,F16,F28,F52)</f>
        <v>10390068</v>
      </c>
      <c r="G54" s="66">
        <f>SUM(C54:F54)</f>
        <v>207806624</v>
      </c>
      <c r="H54" s="45"/>
      <c r="AN54" s="23" t="e">
        <f>IF(LEN(TRIM(#REF!&amp;#REF!&amp;#REF!&amp;#REF!&amp;#REF!))&gt;0,1,0)</f>
        <v>#REF!</v>
      </c>
    </row>
    <row r="55" spans="1:40" s="2" customFormat="1" ht="12.75">
      <c r="A55" s="45"/>
      <c r="B55" s="45"/>
      <c r="AN55" s="4"/>
    </row>
    <row r="56" spans="1:40" s="2" customFormat="1" ht="12.75">
      <c r="A56" s="72" t="s">
        <v>69</v>
      </c>
      <c r="B56" s="72"/>
      <c r="C56" s="58"/>
      <c r="AN56" s="4"/>
    </row>
    <row r="57" spans="1:40" s="2" customFormat="1" ht="12.75">
      <c r="A57" s="74"/>
      <c r="B57" s="74"/>
      <c r="C57" s="58"/>
      <c r="AN57" s="4"/>
    </row>
    <row r="58" spans="1:40" s="2" customFormat="1" ht="12.75">
      <c r="A58" s="44">
        <v>36</v>
      </c>
      <c r="B58" s="45" t="s">
        <v>70</v>
      </c>
      <c r="C58" s="61">
        <v>352028</v>
      </c>
      <c r="D58" s="61">
        <v>75744701</v>
      </c>
      <c r="E58" s="61">
        <v>57621020</v>
      </c>
      <c r="F58" s="61">
        <v>8657063</v>
      </c>
      <c r="G58" s="62">
        <f aca="true" t="shared" si="2" ref="G58:G67">SUM(C58:F58)</f>
        <v>142374812</v>
      </c>
      <c r="AN58" s="23" t="e">
        <f>IF(LEN(TRIM(#REF!&amp;#REF!&amp;#REF!&amp;#REF!&amp;#REF!))&gt;0,1,0)</f>
        <v>#REF!</v>
      </c>
    </row>
    <row r="59" spans="1:40" s="2" customFormat="1" ht="12.75">
      <c r="A59" s="44">
        <v>37</v>
      </c>
      <c r="B59" s="45" t="s">
        <v>71</v>
      </c>
      <c r="C59" s="61">
        <v>0</v>
      </c>
      <c r="D59" s="61">
        <v>0</v>
      </c>
      <c r="E59" s="61">
        <v>17649220</v>
      </c>
      <c r="F59" s="61">
        <v>0</v>
      </c>
      <c r="G59" s="62">
        <f t="shared" si="2"/>
        <v>17649220</v>
      </c>
      <c r="AN59" s="23" t="e">
        <f>IF(LEN(TRIM(#REF!&amp;#REF!&amp;#REF!&amp;#REF!&amp;#REF!))&gt;0,1,0)</f>
        <v>#REF!</v>
      </c>
    </row>
    <row r="60" spans="1:40" s="2" customFormat="1" ht="12.75">
      <c r="A60" s="44">
        <v>38</v>
      </c>
      <c r="B60" s="45" t="s">
        <v>72</v>
      </c>
      <c r="C60" s="61">
        <v>1418</v>
      </c>
      <c r="D60" s="61">
        <v>6819926</v>
      </c>
      <c r="E60" s="61">
        <v>4659971</v>
      </c>
      <c r="F60" s="61">
        <v>228766</v>
      </c>
      <c r="G60" s="62">
        <f t="shared" si="2"/>
        <v>11710081</v>
      </c>
      <c r="AN60" s="23" t="e">
        <f>IF(LEN(TRIM(#REF!&amp;#REF!&amp;#REF!&amp;#REF!&amp;#REF!))&gt;0,1,0)</f>
        <v>#REF!</v>
      </c>
    </row>
    <row r="61" spans="1:40" s="2" customFormat="1" ht="12.75">
      <c r="A61" s="44">
        <v>39</v>
      </c>
      <c r="B61" s="45" t="s">
        <v>73</v>
      </c>
      <c r="C61" s="61">
        <v>3666</v>
      </c>
      <c r="D61" s="61">
        <v>841676</v>
      </c>
      <c r="E61" s="61">
        <v>455155</v>
      </c>
      <c r="F61" s="61">
        <v>17304</v>
      </c>
      <c r="G61" s="62">
        <f t="shared" si="2"/>
        <v>1317801</v>
      </c>
      <c r="AN61" s="23" t="e">
        <f>IF(LEN(TRIM(#REF!&amp;#REF!&amp;#REF!&amp;#REF!&amp;#REF!))&gt;0,1,0)</f>
        <v>#REF!</v>
      </c>
    </row>
    <row r="62" spans="1:40" s="2" customFormat="1" ht="12.75">
      <c r="A62" s="44">
        <v>40</v>
      </c>
      <c r="B62" s="45" t="s">
        <v>74</v>
      </c>
      <c r="C62" s="61">
        <v>6286</v>
      </c>
      <c r="D62" s="61">
        <v>4659270</v>
      </c>
      <c r="E62" s="61">
        <v>6598179</v>
      </c>
      <c r="F62" s="61">
        <v>498286</v>
      </c>
      <c r="G62" s="62">
        <f t="shared" si="2"/>
        <v>11762021</v>
      </c>
      <c r="AN62" s="23" t="e">
        <f>IF(LEN(TRIM(#REF!&amp;#REF!&amp;#REF!&amp;#REF!&amp;#REF!))&gt;0,1,0)</f>
        <v>#REF!</v>
      </c>
    </row>
    <row r="63" spans="1:40" s="2" customFormat="1" ht="12" customHeight="1">
      <c r="A63" s="44">
        <v>41</v>
      </c>
      <c r="B63" s="45" t="s">
        <v>75</v>
      </c>
      <c r="C63" s="61">
        <v>150000</v>
      </c>
      <c r="D63" s="61">
        <v>1270797</v>
      </c>
      <c r="E63" s="61">
        <v>713164</v>
      </c>
      <c r="F63" s="61">
        <v>68227</v>
      </c>
      <c r="G63" s="78">
        <f t="shared" si="2"/>
        <v>2202188</v>
      </c>
      <c r="AN63" s="23" t="e">
        <f>IF(LEN(TRIM(#REF!&amp;#REF!&amp;#REF!&amp;#REF!&amp;#REF!))&gt;0,1,0)</f>
        <v>#REF!</v>
      </c>
    </row>
    <row r="64" spans="1:40" s="2" customFormat="1" ht="12.75">
      <c r="A64" s="44">
        <v>42</v>
      </c>
      <c r="B64" s="45" t="s">
        <v>76</v>
      </c>
      <c r="C64" s="61">
        <v>19768</v>
      </c>
      <c r="D64" s="61">
        <v>4115746</v>
      </c>
      <c r="E64" s="61">
        <v>3701013</v>
      </c>
      <c r="F64" s="61">
        <v>275798</v>
      </c>
      <c r="G64" s="78">
        <f t="shared" si="2"/>
        <v>8112325</v>
      </c>
      <c r="AN64" s="23" t="e">
        <f>IF(LEN(TRIM(#REF!&amp;#REF!&amp;#REF!&amp;#REF!&amp;#REF!))&gt;0,1,0)</f>
        <v>#REF!</v>
      </c>
    </row>
    <row r="65" spans="1:40" s="2" customFormat="1" ht="12.75">
      <c r="A65" s="44">
        <v>43</v>
      </c>
      <c r="B65" s="45" t="s">
        <v>77</v>
      </c>
      <c r="C65" s="61">
        <f>'[1]Table B'!L14</f>
        <v>0</v>
      </c>
      <c r="D65" s="61">
        <f>'[1]Table B'!L86</f>
        <v>40600</v>
      </c>
      <c r="E65" s="61">
        <f>'[1]Table B'!L109</f>
        <v>571868.98</v>
      </c>
      <c r="F65" s="61">
        <f>'[1]Table B'!L119</f>
        <v>66393.51</v>
      </c>
      <c r="G65" s="78">
        <f t="shared" si="2"/>
        <v>678862.49</v>
      </c>
      <c r="AN65" s="23" t="e">
        <f>IF(LEN(TRIM(#REF!&amp;#REF!&amp;#REF!&amp;#REF!&amp;#REF!))&gt;0,1,0)</f>
        <v>#REF!</v>
      </c>
    </row>
    <row r="66" spans="1:40" s="2" customFormat="1" ht="13.5" thickBot="1">
      <c r="A66" s="44">
        <v>44</v>
      </c>
      <c r="B66" s="45" t="s">
        <v>78</v>
      </c>
      <c r="C66" s="61">
        <f>'[1]Table B'!M14</f>
        <v>0</v>
      </c>
      <c r="D66" s="61">
        <f>'[1]Table B'!M86</f>
        <v>7306.75</v>
      </c>
      <c r="E66" s="61">
        <f>'[1]Table B'!M109</f>
        <v>192887.2</v>
      </c>
      <c r="F66" s="61">
        <f>'[1]Table B'!M119</f>
        <v>10481.4</v>
      </c>
      <c r="G66" s="62">
        <f t="shared" si="2"/>
        <v>210675.35</v>
      </c>
      <c r="AN66" s="23" t="e">
        <f>IF(LEN(TRIM(#REF!&amp;#REF!&amp;#REF!&amp;#REF!&amp;#REF!))&gt;0,1,0)</f>
        <v>#REF!</v>
      </c>
    </row>
    <row r="67" spans="1:40" s="2" customFormat="1" ht="13.5" thickBot="1">
      <c r="A67" s="79">
        <v>45</v>
      </c>
      <c r="B67" s="80" t="s">
        <v>79</v>
      </c>
      <c r="C67" s="81">
        <f>SUM(C58:C66)</f>
        <v>533166</v>
      </c>
      <c r="D67" s="81">
        <f>SUM(D58:D66)</f>
        <v>93500022.75</v>
      </c>
      <c r="E67" s="81">
        <f>SUM(E58:E66)</f>
        <v>92162478.18</v>
      </c>
      <c r="F67" s="81">
        <f>SUM(F58:F66)</f>
        <v>9822318.91</v>
      </c>
      <c r="G67" s="82">
        <f t="shared" si="2"/>
        <v>196017985.84</v>
      </c>
      <c r="H67" s="83"/>
      <c r="I67" s="84"/>
      <c r="J67" s="84"/>
      <c r="K67" s="67">
        <v>186957786</v>
      </c>
      <c r="L67" s="68">
        <v>0</v>
      </c>
      <c r="M67" s="68">
        <v>0.15</v>
      </c>
      <c r="N67" s="67">
        <v>1000000</v>
      </c>
      <c r="AN67" s="23" t="e">
        <f>IF(LEN(TRIM(#REF!&amp;#REF!&amp;#REF!&amp;#REF!&amp;#REF!))&gt;0,1,0)</f>
        <v>#REF!</v>
      </c>
    </row>
    <row r="68" spans="1:40" s="2" customFormat="1" ht="12.75">
      <c r="A68" s="45"/>
      <c r="B68" s="45"/>
      <c r="AN68" s="4"/>
    </row>
    <row r="69" spans="1:40" s="2" customFormat="1" ht="12.75">
      <c r="A69" s="72" t="s">
        <v>80</v>
      </c>
      <c r="B69" s="72"/>
      <c r="C69" s="58"/>
      <c r="AN69" s="4"/>
    </row>
    <row r="70" spans="1:40" s="2" customFormat="1" ht="12.75">
      <c r="A70" s="74"/>
      <c r="B70" s="74"/>
      <c r="C70" s="58"/>
      <c r="AN70" s="4"/>
    </row>
    <row r="71" spans="1:40" s="2" customFormat="1" ht="12.75">
      <c r="A71" s="44">
        <v>46</v>
      </c>
      <c r="B71" s="45" t="s">
        <v>81</v>
      </c>
      <c r="C71" s="61">
        <v>951</v>
      </c>
      <c r="D71" s="61">
        <v>638554</v>
      </c>
      <c r="E71" s="61">
        <v>1587859</v>
      </c>
      <c r="F71" s="61">
        <v>156580</v>
      </c>
      <c r="G71" s="62">
        <f aca="true" t="shared" si="3" ref="G71:G80">SUM(C71:F71)</f>
        <v>2383944</v>
      </c>
      <c r="AN71" s="23" t="e">
        <f>IF(LEN(TRIM(#REF!&amp;#REF!&amp;#REF!&amp;#REF!&amp;#REF!))&gt;0,1,0)</f>
        <v>#REF!</v>
      </c>
    </row>
    <row r="72" spans="1:40" s="2" customFormat="1" ht="12.75">
      <c r="A72" s="44">
        <v>47</v>
      </c>
      <c r="B72" s="45" t="s">
        <v>82</v>
      </c>
      <c r="C72" s="61">
        <v>155775</v>
      </c>
      <c r="D72" s="61">
        <v>1241466</v>
      </c>
      <c r="E72" s="61">
        <v>2536863</v>
      </c>
      <c r="F72" s="61">
        <v>228778</v>
      </c>
      <c r="G72" s="62">
        <f t="shared" si="3"/>
        <v>4162882</v>
      </c>
      <c r="AN72" s="23" t="e">
        <f>IF(LEN(TRIM(#REF!&amp;#REF!&amp;#REF!&amp;#REF!&amp;#REF!))&gt;0,1,0)</f>
        <v>#REF!</v>
      </c>
    </row>
    <row r="73" spans="1:40" s="2" customFormat="1" ht="12.75">
      <c r="A73" s="44">
        <v>48</v>
      </c>
      <c r="B73" s="45" t="s">
        <v>83</v>
      </c>
      <c r="C73" s="61">
        <v>5705</v>
      </c>
      <c r="D73" s="61">
        <v>674772</v>
      </c>
      <c r="E73" s="61">
        <v>1537162</v>
      </c>
      <c r="F73" s="61">
        <v>43578</v>
      </c>
      <c r="G73" s="62">
        <f t="shared" si="3"/>
        <v>2261217</v>
      </c>
      <c r="AN73" s="23" t="e">
        <f>IF(LEN(TRIM(#REF!&amp;#REF!&amp;#REF!&amp;#REF!&amp;#REF!))&gt;0,1,0)</f>
        <v>#REF!</v>
      </c>
    </row>
    <row r="74" spans="1:40" s="2" customFormat="1" ht="12.75">
      <c r="A74" s="44">
        <v>49</v>
      </c>
      <c r="B74" s="45" t="s">
        <v>84</v>
      </c>
      <c r="C74" s="61">
        <v>0</v>
      </c>
      <c r="D74" s="61">
        <v>171353</v>
      </c>
      <c r="E74" s="61">
        <v>67448</v>
      </c>
      <c r="F74" s="61">
        <v>16994</v>
      </c>
      <c r="G74" s="62">
        <f t="shared" si="3"/>
        <v>255795</v>
      </c>
      <c r="AN74" s="23" t="e">
        <f>IF(LEN(TRIM(#REF!&amp;#REF!&amp;#REF!&amp;#REF!&amp;#REF!))&gt;0,1,0)</f>
        <v>#REF!</v>
      </c>
    </row>
    <row r="75" spans="1:40" s="2" customFormat="1" ht="12.75">
      <c r="A75" s="44">
        <v>50</v>
      </c>
      <c r="B75" s="45" t="s">
        <v>85</v>
      </c>
      <c r="C75" s="61">
        <v>0</v>
      </c>
      <c r="D75" s="61">
        <v>153416</v>
      </c>
      <c r="E75" s="61">
        <v>65964</v>
      </c>
      <c r="F75" s="61">
        <v>10315</v>
      </c>
      <c r="G75" s="62">
        <f t="shared" si="3"/>
        <v>229695</v>
      </c>
      <c r="AN75" s="23" t="e">
        <f>IF(LEN(TRIM(#REF!&amp;#REF!&amp;#REF!&amp;#REF!&amp;#REF!))&gt;0,1,0)</f>
        <v>#REF!</v>
      </c>
    </row>
    <row r="76" spans="1:40" s="2" customFormat="1" ht="12.75">
      <c r="A76" s="44">
        <v>51</v>
      </c>
      <c r="B76" s="45" t="s">
        <v>86</v>
      </c>
      <c r="C76" s="61">
        <v>0</v>
      </c>
      <c r="D76" s="61">
        <v>587911</v>
      </c>
      <c r="E76" s="61">
        <v>492609</v>
      </c>
      <c r="F76" s="61">
        <v>6609</v>
      </c>
      <c r="G76" s="62">
        <f t="shared" si="3"/>
        <v>1087129</v>
      </c>
      <c r="AN76" s="23" t="e">
        <f>IF(LEN(TRIM(#REF!&amp;#REF!&amp;#REF!&amp;#REF!&amp;#REF!))&gt;0,1,0)</f>
        <v>#REF!</v>
      </c>
    </row>
    <row r="77" spans="1:40" s="2" customFormat="1" ht="13.5" thickBot="1">
      <c r="A77" s="44">
        <v>52</v>
      </c>
      <c r="B77" s="45" t="s">
        <v>87</v>
      </c>
      <c r="C77" s="61">
        <f>'[1]Table B'!N14</f>
        <v>0</v>
      </c>
      <c r="D77" s="61">
        <f>'[1]Table B'!N86</f>
        <v>23979.65</v>
      </c>
      <c r="E77" s="61">
        <f>'[1]Table B'!N109</f>
        <v>93075.72</v>
      </c>
      <c r="F77" s="61">
        <f>'[1]Table B'!N119</f>
        <v>6425.41</v>
      </c>
      <c r="G77" s="62">
        <f t="shared" si="3"/>
        <v>123480.78</v>
      </c>
      <c r="AN77" s="23" t="e">
        <f>IF(LEN(TRIM(#REF!&amp;#REF!&amp;#REF!&amp;#REF!&amp;#REF!))&gt;0,1,0)</f>
        <v>#REF!</v>
      </c>
    </row>
    <row r="78" spans="1:40" s="2" customFormat="1" ht="13.5" thickBot="1">
      <c r="A78" s="85">
        <v>53</v>
      </c>
      <c r="B78" s="86" t="s">
        <v>88</v>
      </c>
      <c r="C78" s="82">
        <f>SUM(C71:C77)</f>
        <v>162431</v>
      </c>
      <c r="D78" s="82">
        <f>SUM(D71:D77)</f>
        <v>3491451.65</v>
      </c>
      <c r="E78" s="82">
        <f>SUM(E71:E77)</f>
        <v>6380980.72</v>
      </c>
      <c r="F78" s="82">
        <f>SUM(F71:F77)</f>
        <v>469279.41</v>
      </c>
      <c r="G78" s="82">
        <f t="shared" si="3"/>
        <v>10504142.78</v>
      </c>
      <c r="AN78" s="23" t="e">
        <f>IF(LEN(TRIM(#REF!&amp;#REF!&amp;#REF!&amp;#REF!&amp;#REF!))&gt;0,1,0)</f>
        <v>#REF!</v>
      </c>
    </row>
    <row r="79" spans="1:40" s="2" customFormat="1" ht="13.5" thickBot="1">
      <c r="A79" s="44">
        <v>54</v>
      </c>
      <c r="B79" s="45" t="s">
        <v>89</v>
      </c>
      <c r="C79" s="61">
        <v>2924</v>
      </c>
      <c r="D79" s="61">
        <v>883057</v>
      </c>
      <c r="E79" s="61">
        <v>393445</v>
      </c>
      <c r="F79" s="61">
        <v>90681</v>
      </c>
      <c r="G79" s="62">
        <f t="shared" si="3"/>
        <v>1370107</v>
      </c>
      <c r="AN79" s="23" t="e">
        <f>IF(LEN(TRIM(#REF!&amp;#REF!&amp;#REF!&amp;#REF!&amp;#REF!))&gt;0,1,0)</f>
        <v>#REF!</v>
      </c>
    </row>
    <row r="80" spans="1:40" s="2" customFormat="1" ht="13.5" thickBot="1">
      <c r="A80" s="85">
        <v>55</v>
      </c>
      <c r="B80" s="86" t="s">
        <v>90</v>
      </c>
      <c r="C80" s="82">
        <f>SUM(C78,C79)</f>
        <v>165355</v>
      </c>
      <c r="D80" s="82">
        <f>SUM(D78,D79)</f>
        <v>4374508.65</v>
      </c>
      <c r="E80" s="82">
        <f>SUM(E78,E79)</f>
        <v>6774425.72</v>
      </c>
      <c r="F80" s="82">
        <f>SUM(F78,F79)</f>
        <v>559960.4099999999</v>
      </c>
      <c r="G80" s="82">
        <f t="shared" si="3"/>
        <v>11874249.780000001</v>
      </c>
      <c r="H80" s="45"/>
      <c r="AN80" s="23" t="e">
        <f>IF(LEN(TRIM(#REF!&amp;#REF!&amp;#REF!&amp;#REF!&amp;#REF!))&gt;0,1,0)</f>
        <v>#REF!</v>
      </c>
    </row>
    <row r="81" spans="1:40" s="2" customFormat="1" ht="13.5" thickBot="1">
      <c r="A81" s="44"/>
      <c r="B81" s="45"/>
      <c r="C81" s="58"/>
      <c r="G81" s="60"/>
      <c r="AN81" s="4"/>
    </row>
    <row r="82" spans="1:40" s="2" customFormat="1" ht="13.5" thickBot="1">
      <c r="A82" s="44">
        <v>56</v>
      </c>
      <c r="B82" s="64" t="s">
        <v>91</v>
      </c>
      <c r="C82" s="66">
        <f>SUM(C54)-SUM(C80)</f>
        <v>554397</v>
      </c>
      <c r="D82" s="66">
        <f>SUM(D54)-SUM(D80)</f>
        <v>93784434.35</v>
      </c>
      <c r="E82" s="66">
        <f>SUM(E54)-SUM(E80)</f>
        <v>91763435.28</v>
      </c>
      <c r="F82" s="66">
        <f>SUM(F54)-SUM(F80)</f>
        <v>9830107.59</v>
      </c>
      <c r="G82" s="66">
        <f>SUM(C82:F82)</f>
        <v>195932374.22</v>
      </c>
      <c r="H82" s="45"/>
      <c r="AN82" s="4"/>
    </row>
    <row r="83" spans="1:40" s="2" customFormat="1" ht="12.75">
      <c r="A83" s="44"/>
      <c r="B83" s="45"/>
      <c r="C83" s="87"/>
      <c r="D83" s="88"/>
      <c r="E83" s="88"/>
      <c r="F83" s="88"/>
      <c r="G83" s="88"/>
      <c r="H83" s="60"/>
      <c r="AN83" s="4"/>
    </row>
    <row r="84" spans="1:40" s="2" customFormat="1" ht="12.75">
      <c r="A84" s="85">
        <v>57</v>
      </c>
      <c r="B84" s="89" t="s">
        <v>92</v>
      </c>
      <c r="C84" s="90">
        <f>'[1]Table B'!R14</f>
        <v>0</v>
      </c>
      <c r="D84" s="90">
        <f>'[1]Table B'!R86</f>
        <v>362046.06</v>
      </c>
      <c r="E84" s="90">
        <f>'[1]Table B'!R109</f>
        <v>1451858.34</v>
      </c>
      <c r="F84" s="91">
        <f>'[1]Table B'!R119</f>
        <v>30000</v>
      </c>
      <c r="G84" s="92">
        <f>SUM(C84:F84)</f>
        <v>1843904.4000000001</v>
      </c>
      <c r="H84" s="3"/>
      <c r="AN84" s="23" t="e">
        <f>IF(LEN(TRIM(#REF!&amp;#REF!&amp;#REF!&amp;#REF!&amp;#REF!))&gt;0,1,0)</f>
        <v>#REF!</v>
      </c>
    </row>
    <row r="85" spans="1:40" s="2" customFormat="1" ht="12.75">
      <c r="A85" s="45"/>
      <c r="B85" s="45"/>
      <c r="AN85" s="4"/>
    </row>
    <row r="86" spans="1:40" ht="12.75">
      <c r="A86" s="72" t="s">
        <v>93</v>
      </c>
      <c r="B86" s="72"/>
      <c r="C86" s="58"/>
      <c r="D86" s="2"/>
      <c r="E86" s="2"/>
      <c r="F86" s="2"/>
      <c r="G86" s="2"/>
      <c r="H86" s="2"/>
      <c r="AN86" s="4"/>
    </row>
    <row r="87" spans="1:40" ht="12.75">
      <c r="A87" s="74"/>
      <c r="B87" s="74"/>
      <c r="C87" s="58"/>
      <c r="D87" s="2"/>
      <c r="E87" s="2"/>
      <c r="F87" s="2"/>
      <c r="G87" s="2"/>
      <c r="H87" s="2"/>
      <c r="AN87" s="4"/>
    </row>
    <row r="88" spans="1:40" ht="12.75">
      <c r="A88" s="44"/>
      <c r="B88" s="93" t="s">
        <v>94</v>
      </c>
      <c r="C88" s="94"/>
      <c r="D88" s="2"/>
      <c r="E88" s="2"/>
      <c r="F88" s="2"/>
      <c r="G88" s="2"/>
      <c r="H88" s="2"/>
      <c r="AN88" s="4"/>
    </row>
    <row r="89" spans="1:40" ht="12.75" hidden="1">
      <c r="A89" s="44"/>
      <c r="B89" s="93"/>
      <c r="C89" s="94"/>
      <c r="D89" s="2"/>
      <c r="E89" s="2"/>
      <c r="F89" s="2"/>
      <c r="G89" s="2"/>
      <c r="H89" s="2"/>
      <c r="AN89" s="4"/>
    </row>
    <row r="90" spans="1:40" ht="12.75">
      <c r="A90" s="44">
        <v>58</v>
      </c>
      <c r="B90" s="45" t="s">
        <v>95</v>
      </c>
      <c r="C90" s="61">
        <v>0</v>
      </c>
      <c r="D90" s="61">
        <v>1433967</v>
      </c>
      <c r="E90" s="61">
        <v>1988773</v>
      </c>
      <c r="F90" s="61">
        <v>111130.88</v>
      </c>
      <c r="G90" s="62">
        <f>SUM(C90:F90)</f>
        <v>3533870.88</v>
      </c>
      <c r="H90" s="2"/>
      <c r="AN90" s="23" t="e">
        <f>IF(LEN(TRIM(#REF!&amp;#REF!&amp;#REF!&amp;#REF!&amp;#REF!))&gt;0,1,0)</f>
        <v>#REF!</v>
      </c>
    </row>
    <row r="91" spans="1:40" ht="12.75">
      <c r="A91" s="44">
        <v>59</v>
      </c>
      <c r="B91" s="45" t="s">
        <v>96</v>
      </c>
      <c r="C91" s="61">
        <v>23846</v>
      </c>
      <c r="D91" s="61">
        <v>6255040</v>
      </c>
      <c r="E91" s="61">
        <v>1899558</v>
      </c>
      <c r="F91" s="61">
        <v>548016.95</v>
      </c>
      <c r="G91" s="62">
        <f>SUM(C91:F91)</f>
        <v>8726460.95</v>
      </c>
      <c r="H91" s="45"/>
      <c r="AN91" s="23" t="e">
        <f>IF(LEN(TRIM(#REF!&amp;#REF!&amp;#REF!&amp;#REF!&amp;#REF!))&gt;0,1,0)</f>
        <v>#REF!</v>
      </c>
    </row>
    <row r="92" spans="1:40" ht="12.75">
      <c r="A92" s="44">
        <v>60</v>
      </c>
      <c r="B92" s="45" t="s">
        <v>97</v>
      </c>
      <c r="C92" s="61">
        <f>'[1]Table B'!E14</f>
        <v>4254.45</v>
      </c>
      <c r="D92" s="61">
        <f>'[1]Table B'!E86</f>
        <v>15778.35</v>
      </c>
      <c r="E92" s="61">
        <f>'[1]Table B'!E109</f>
        <v>273326.27</v>
      </c>
      <c r="F92" s="61">
        <f>'[1]Table B'!E119</f>
        <v>-32603.589999999997</v>
      </c>
      <c r="G92" s="62">
        <f>SUM(C92:F92)</f>
        <v>260755.48</v>
      </c>
      <c r="H92" s="45"/>
      <c r="AN92" s="23" t="e">
        <f>IF(LEN(TRIM(#REF!&amp;#REF!&amp;#REF!&amp;#REF!&amp;#REF!))&gt;0,1,0)</f>
        <v>#REF!</v>
      </c>
    </row>
    <row r="93" spans="1:40" ht="12.75">
      <c r="A93" s="44"/>
      <c r="B93" s="45"/>
      <c r="C93" s="69"/>
      <c r="D93" s="95"/>
      <c r="E93" s="95"/>
      <c r="F93" s="95"/>
      <c r="G93" s="95"/>
      <c r="H93" s="45"/>
      <c r="AN93" s="23"/>
    </row>
    <row r="94" spans="1:40" ht="12.75">
      <c r="A94" s="97"/>
      <c r="B94" s="93" t="s">
        <v>98</v>
      </c>
      <c r="C94" s="98"/>
      <c r="D94" s="88"/>
      <c r="E94" s="88"/>
      <c r="F94" s="88"/>
      <c r="G94" s="88"/>
      <c r="H94" s="60"/>
      <c r="AN94" s="4"/>
    </row>
    <row r="95" spans="1:40" ht="12.75" hidden="1">
      <c r="A95" s="97"/>
      <c r="B95" s="93"/>
      <c r="C95" s="98"/>
      <c r="D95" s="99"/>
      <c r="E95" s="99"/>
      <c r="F95" s="99"/>
      <c r="G95" s="99"/>
      <c r="H95" s="60"/>
      <c r="AN95" s="4"/>
    </row>
    <row r="96" spans="1:40" ht="12.75">
      <c r="A96" s="44">
        <v>61</v>
      </c>
      <c r="B96" s="45" t="s">
        <v>95</v>
      </c>
      <c r="C96" s="61">
        <f>'[1]Table B'!S14</f>
        <v>0</v>
      </c>
      <c r="D96" s="61">
        <f>'[1]Table B'!S86</f>
        <v>518233.47000000003</v>
      </c>
      <c r="E96" s="61">
        <f>'[1]Table B'!S109</f>
        <v>1606864.78</v>
      </c>
      <c r="F96" s="61">
        <f>'[1]Table B'!S119</f>
        <v>133953</v>
      </c>
      <c r="G96" s="62">
        <f>SUM(C96:F96)</f>
        <v>2259051.25</v>
      </c>
      <c r="H96" s="2"/>
      <c r="AN96" s="23" t="e">
        <f>IF(LEN(TRIM(#REF!&amp;#REF!&amp;#REF!&amp;#REF!&amp;#REF!))&gt;0,1,0)</f>
        <v>#REF!</v>
      </c>
    </row>
    <row r="97" spans="1:40" ht="12.75">
      <c r="A97" s="44">
        <v>62</v>
      </c>
      <c r="B97" s="45" t="s">
        <v>96</v>
      </c>
      <c r="C97" s="61">
        <f>'[1]Table B'!T14</f>
        <v>6869.31</v>
      </c>
      <c r="D97" s="61">
        <f>'[1]Table B'!T86</f>
        <v>6516955.53</v>
      </c>
      <c r="E97" s="61">
        <f>'[1]Table B'!T109</f>
        <v>1419284.4599999997</v>
      </c>
      <c r="F97" s="61">
        <f>'[1]Table B'!T119</f>
        <v>597779.22</v>
      </c>
      <c r="G97" s="62">
        <f>SUM(C97:F97)</f>
        <v>8540888.52</v>
      </c>
      <c r="H97" s="45"/>
      <c r="AN97" s="23" t="e">
        <f>IF(LEN(TRIM(#REF!&amp;#REF!&amp;#REF!&amp;#REF!&amp;#REF!))&gt;0,1,0)</f>
        <v>#REF!</v>
      </c>
    </row>
    <row r="98" spans="1:40" ht="12.75">
      <c r="A98" s="44">
        <v>63</v>
      </c>
      <c r="B98" s="45" t="s">
        <v>97</v>
      </c>
      <c r="C98" s="61">
        <f>'[1]Table B'!U14</f>
        <v>0</v>
      </c>
      <c r="D98" s="61">
        <f>'[1]Table B'!U86</f>
        <v>23138.28</v>
      </c>
      <c r="E98" s="61">
        <f>'[1]Table B'!U109</f>
        <v>82692.16</v>
      </c>
      <c r="F98" s="61">
        <f>'[1]Table B'!U119</f>
        <v>-142973.63999999998</v>
      </c>
      <c r="G98" s="62">
        <f>SUM(C98:F98)</f>
        <v>-37143.19999999998</v>
      </c>
      <c r="H98" s="45"/>
      <c r="AN98" s="23" t="e">
        <f>IF(LEN(TRIM(#REF!&amp;#REF!&amp;#REF!&amp;#REF!&amp;#REF!))&gt;0,1,0)</f>
        <v>#REF!</v>
      </c>
    </row>
    <row r="99" spans="1:41" ht="12.75">
      <c r="A99" s="15"/>
      <c r="B99" s="15"/>
      <c r="AO99" s="3"/>
    </row>
    <row r="100" spans="1:40" s="2" customFormat="1" ht="36.75" customHeight="1">
      <c r="A100" s="79"/>
      <c r="B100" s="45"/>
      <c r="C100" s="100" t="s">
        <v>99</v>
      </c>
      <c r="D100" s="100" t="s">
        <v>100</v>
      </c>
      <c r="E100" s="100" t="s">
        <v>101</v>
      </c>
      <c r="F100" s="100" t="s">
        <v>102</v>
      </c>
      <c r="G100" s="100" t="s">
        <v>103</v>
      </c>
      <c r="H100" s="100" t="s">
        <v>104</v>
      </c>
      <c r="I100" s="100" t="s">
        <v>105</v>
      </c>
      <c r="J100" s="101"/>
      <c r="K100" s="100" t="s">
        <v>106</v>
      </c>
      <c r="L100" s="100" t="s">
        <v>107</v>
      </c>
      <c r="M100" s="100" t="s">
        <v>108</v>
      </c>
      <c r="N100" s="100" t="s">
        <v>109</v>
      </c>
      <c r="P100" s="100" t="s">
        <v>110</v>
      </c>
      <c r="Q100" s="100" t="s">
        <v>111</v>
      </c>
      <c r="R100" s="100" t="s">
        <v>112</v>
      </c>
      <c r="S100" s="100" t="s">
        <v>113</v>
      </c>
      <c r="T100" s="100" t="s">
        <v>114</v>
      </c>
      <c r="U100" s="100" t="s">
        <v>115</v>
      </c>
      <c r="V100" s="100" t="s">
        <v>116</v>
      </c>
      <c r="X100" s="33" t="s">
        <v>117</v>
      </c>
      <c r="Y100" s="34" t="s">
        <v>118</v>
      </c>
      <c r="Z100" s="102"/>
      <c r="AA100" s="103"/>
      <c r="AC100" s="33" t="str">
        <f>L100</f>
        <v>Govt. Grants Outside AEF not including LSC</v>
      </c>
      <c r="AD100" s="33" t="str">
        <f>M100</f>
        <v>Grants from LSC</v>
      </c>
      <c r="AE100" s="33" t="str">
        <f>N100</f>
        <v>LA NET Revenue Expenditure</v>
      </c>
      <c r="AG100" s="33" t="str">
        <f aca="true" t="shared" si="4" ref="AG100:AM100">P100</f>
        <v>Inter-authority recoupment included in (j)</v>
      </c>
      <c r="AH100" s="33" t="str">
        <f t="shared" si="4"/>
        <v>Inter-authority recoupment included in (l)</v>
      </c>
      <c r="AI100" s="33" t="str">
        <f t="shared" si="4"/>
        <v>Capital Expenditure (Excluding CERA)</v>
      </c>
      <c r="AJ100" s="33" t="str">
        <f t="shared" si="4"/>
        <v>Home to school transport: Nursery</v>
      </c>
      <c r="AK100" s="33" t="str">
        <f t="shared" si="4"/>
        <v>Home to school transport: Primary</v>
      </c>
      <c r="AL100" s="33" t="str">
        <f t="shared" si="4"/>
        <v>Home to school/college transport: Secondary</v>
      </c>
      <c r="AM100" s="33" t="str">
        <f t="shared" si="4"/>
        <v>Home to school/college transport: Special</v>
      </c>
      <c r="AN100" s="4"/>
    </row>
    <row r="101" spans="1:40" s="2" customFormat="1" ht="36.75" customHeight="1">
      <c r="A101" s="44"/>
      <c r="B101" s="45"/>
      <c r="C101" s="104"/>
      <c r="D101" s="104"/>
      <c r="E101" s="104"/>
      <c r="F101" s="104"/>
      <c r="G101" s="104"/>
      <c r="H101" s="104"/>
      <c r="I101" s="104"/>
      <c r="J101" s="101"/>
      <c r="K101" s="104"/>
      <c r="L101" s="104"/>
      <c r="M101" s="104"/>
      <c r="N101" s="104"/>
      <c r="O101" s="105"/>
      <c r="P101" s="104"/>
      <c r="Q101" s="104"/>
      <c r="R101" s="104"/>
      <c r="S101" s="104"/>
      <c r="T101" s="104"/>
      <c r="U101" s="104"/>
      <c r="V101" s="104"/>
      <c r="X101" s="49"/>
      <c r="Y101" s="106" t="s">
        <v>119</v>
      </c>
      <c r="Z101" s="107"/>
      <c r="AA101" s="108" t="s">
        <v>20</v>
      </c>
      <c r="AC101" s="49"/>
      <c r="AD101" s="49"/>
      <c r="AE101" s="49"/>
      <c r="AG101" s="49"/>
      <c r="AH101" s="49"/>
      <c r="AI101" s="49"/>
      <c r="AJ101" s="49"/>
      <c r="AK101" s="49"/>
      <c r="AL101" s="49"/>
      <c r="AM101" s="49"/>
      <c r="AN101" s="4"/>
    </row>
    <row r="102" spans="1:40" s="2" customFormat="1" ht="12.75">
      <c r="A102" s="44"/>
      <c r="B102" s="45"/>
      <c r="C102" s="109" t="s">
        <v>120</v>
      </c>
      <c r="D102" s="109" t="s">
        <v>121</v>
      </c>
      <c r="E102" s="109" t="s">
        <v>122</v>
      </c>
      <c r="F102" s="109" t="s">
        <v>123</v>
      </c>
      <c r="G102" s="109" t="s">
        <v>124</v>
      </c>
      <c r="H102" s="109" t="s">
        <v>125</v>
      </c>
      <c r="I102" s="109" t="s">
        <v>126</v>
      </c>
      <c r="J102" s="110"/>
      <c r="K102" s="109" t="s">
        <v>127</v>
      </c>
      <c r="L102" s="109" t="s">
        <v>128</v>
      </c>
      <c r="M102" s="109" t="s">
        <v>129</v>
      </c>
      <c r="N102" s="109" t="s">
        <v>130</v>
      </c>
      <c r="O102" s="111"/>
      <c r="P102" s="109" t="s">
        <v>131</v>
      </c>
      <c r="Q102" s="109" t="s">
        <v>132</v>
      </c>
      <c r="R102" s="109" t="s">
        <v>133</v>
      </c>
      <c r="S102" s="112" t="s">
        <v>134</v>
      </c>
      <c r="T102" s="109" t="s">
        <v>135</v>
      </c>
      <c r="U102" s="109" t="s">
        <v>136</v>
      </c>
      <c r="V102" s="113" t="s">
        <v>137</v>
      </c>
      <c r="X102" s="55" t="s">
        <v>28</v>
      </c>
      <c r="Y102" s="55" t="s">
        <v>138</v>
      </c>
      <c r="Z102" s="47" t="s">
        <v>30</v>
      </c>
      <c r="AA102" s="54" t="s">
        <v>28</v>
      </c>
      <c r="AC102" s="109" t="str">
        <f>L102</f>
        <v>(o)</v>
      </c>
      <c r="AD102" s="109" t="str">
        <f>M102</f>
        <v>(p)</v>
      </c>
      <c r="AE102" s="109" t="str">
        <f>N102</f>
        <v>(q)</v>
      </c>
      <c r="AG102" s="109" t="str">
        <f aca="true" t="shared" si="5" ref="AG102:AM102">P102</f>
        <v>(r(i))</v>
      </c>
      <c r="AH102" s="109" t="str">
        <f t="shared" si="5"/>
        <v>(r(ii))</v>
      </c>
      <c r="AI102" s="109" t="str">
        <f t="shared" si="5"/>
        <v>(s)</v>
      </c>
      <c r="AJ102" s="109" t="str">
        <f t="shared" si="5"/>
        <v>(t)</v>
      </c>
      <c r="AK102" s="109" t="str">
        <f t="shared" si="5"/>
        <v>(u)</v>
      </c>
      <c r="AL102" s="109" t="str">
        <f t="shared" si="5"/>
        <v>(v)</v>
      </c>
      <c r="AM102" s="109" t="str">
        <f t="shared" si="5"/>
        <v>(w)</v>
      </c>
      <c r="AN102" s="4"/>
    </row>
    <row r="103" spans="1:40" s="2" customFormat="1" ht="12.75">
      <c r="A103" s="114" t="s">
        <v>139</v>
      </c>
      <c r="B103" s="114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11"/>
      <c r="P103" s="105"/>
      <c r="Q103" s="105"/>
      <c r="R103" s="105"/>
      <c r="AN103" s="4"/>
    </row>
    <row r="104" spans="1:40" s="2" customFormat="1" ht="12.75">
      <c r="A104" s="44"/>
      <c r="B104" s="4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11"/>
      <c r="P104" s="105"/>
      <c r="Q104" s="105"/>
      <c r="R104" s="105"/>
      <c r="AF104" s="115"/>
      <c r="AN104" s="4"/>
    </row>
    <row r="105" spans="1:40" s="2" customFormat="1" ht="12.75">
      <c r="A105" s="114" t="s">
        <v>140</v>
      </c>
      <c r="B105" s="114"/>
      <c r="C105" s="116"/>
      <c r="D105" s="116"/>
      <c r="E105" s="116"/>
      <c r="F105" s="116"/>
      <c r="G105" s="116"/>
      <c r="H105" s="116"/>
      <c r="I105" s="116"/>
      <c r="J105" s="111"/>
      <c r="K105" s="111"/>
      <c r="L105" s="111"/>
      <c r="M105" s="116"/>
      <c r="N105" s="116"/>
      <c r="O105" s="111"/>
      <c r="P105" s="116"/>
      <c r="Q105" s="116"/>
      <c r="R105" s="116"/>
      <c r="AF105" s="115"/>
      <c r="AN105" s="4"/>
    </row>
    <row r="106" spans="1:40" s="2" customFormat="1" ht="12.75">
      <c r="A106" s="44">
        <v>64</v>
      </c>
      <c r="B106" s="45" t="s">
        <v>141</v>
      </c>
      <c r="C106" s="67">
        <f>C14</f>
        <v>222709</v>
      </c>
      <c r="D106" s="67">
        <f>C16</f>
        <v>317795</v>
      </c>
      <c r="E106" s="67">
        <f>C28</f>
        <v>86397</v>
      </c>
      <c r="F106" s="67">
        <f>C52</f>
        <v>92851</v>
      </c>
      <c r="G106" s="117">
        <f>C54</f>
        <v>719752</v>
      </c>
      <c r="H106" s="67">
        <f>C80</f>
        <v>165355</v>
      </c>
      <c r="I106" s="67">
        <f>C82</f>
        <v>554397</v>
      </c>
      <c r="J106" s="118"/>
      <c r="K106" s="61">
        <v>29720</v>
      </c>
      <c r="L106" s="61">
        <f>345620-29720-165355</f>
        <v>150545</v>
      </c>
      <c r="M106" s="61">
        <v>0</v>
      </c>
      <c r="N106" s="62">
        <f>SUM(I106)-SUM(K106,L106,M106)</f>
        <v>374132</v>
      </c>
      <c r="O106" s="60"/>
      <c r="P106" s="60"/>
      <c r="Q106" s="119"/>
      <c r="R106" s="61">
        <v>0</v>
      </c>
      <c r="AC106" s="63" t="e">
        <f>IF(AND(L106="",#REF!&lt;&gt;"*"),"",IF(AND(L106="",#REF!="*"),"Error 1.1",IF(ISNUMBER(L106)=FALSE,"Error 1.2",IF(L106&lt;0,"Error 1.3",""))))</f>
        <v>#REF!</v>
      </c>
      <c r="AD106" s="63" t="e">
        <f>IF(AND(M106="",#REF!&lt;&gt;"*"),"",IF(AND(M106="",#REF!="*"),"Error 1.1",IF(ISNUMBER(M106)=FALSE,"Error 1.2",IF(M106&lt;0,"Error 1.3",""))))</f>
        <v>#REF!</v>
      </c>
      <c r="AE106" s="63" t="e">
        <f>IF(AND(N106="",#REF!&lt;&gt;"*"),"",IF(AND(N106="",#REF!="*"),"Error 1.1",IF(ISNUMBER(N106)=FALSE,"Error 1.2",IF(N106&lt;0,"Error 1.3",""))))</f>
        <v>#REF!</v>
      </c>
      <c r="AF106" s="115"/>
      <c r="AI106" s="63" t="e">
        <f>IF(AND(R106="",#REF!&lt;&gt;"*"),"",IF(AND(R106="",#REF!="*"),"Error 1.1",IF(ISNUMBER(R106)=FALSE,"Error 1.2",IF(R106&lt;0,"Error 1.3",""))))</f>
        <v>#REF!</v>
      </c>
      <c r="AN106" s="23" t="e">
        <f>IF(LEN(TRIM(#REF!&amp;#REF!&amp;#REF!&amp;#REF!&amp;#REF!&amp;#REF!&amp;#REF!&amp;#REF!&amp;#REF!&amp;AC106&amp;AD106&amp;AE106&amp;AF106&amp;AG106&amp;AH106&amp;AI106&amp;AJ106&amp;AK106&amp;AL106&amp;AM106))&gt;0,1,0)</f>
        <v>#REF!</v>
      </c>
    </row>
    <row r="107" spans="1:40" s="2" customFormat="1" ht="12.75">
      <c r="A107" s="44">
        <v>65</v>
      </c>
      <c r="B107" s="45" t="s">
        <v>13</v>
      </c>
      <c r="C107" s="67">
        <f>D14</f>
        <v>48847689</v>
      </c>
      <c r="D107" s="67">
        <f>D16</f>
        <v>18085399</v>
      </c>
      <c r="E107" s="67">
        <f>D28</f>
        <v>10469182</v>
      </c>
      <c r="F107" s="67">
        <f>D52</f>
        <v>20756673</v>
      </c>
      <c r="G107" s="117">
        <f>D54</f>
        <v>98158943</v>
      </c>
      <c r="H107" s="67">
        <f>D80</f>
        <v>4374508.65</v>
      </c>
      <c r="I107" s="67">
        <f>D82</f>
        <v>93784434.35</v>
      </c>
      <c r="J107" s="118"/>
      <c r="K107" s="61">
        <v>9614257</v>
      </c>
      <c r="L107" s="61">
        <f>15614653-9614257-4374509</f>
        <v>1625887</v>
      </c>
      <c r="M107" s="61">
        <v>0</v>
      </c>
      <c r="N107" s="62">
        <f>SUM(I107)-SUM(K107,L107,M107)</f>
        <v>82544290.35</v>
      </c>
      <c r="O107" s="60"/>
      <c r="P107" s="60"/>
      <c r="Q107" s="119"/>
      <c r="R107" s="61">
        <v>4130700.62</v>
      </c>
      <c r="AC107" s="63" t="e">
        <f>IF(AND(L107="",#REF!&lt;&gt;"*"),"",IF(AND(L107="",#REF!="*"),"Error 1.1",IF(ISNUMBER(L107)=FALSE,"Error 1.2",IF(L107&lt;0,"Error 1.3",""))))</f>
        <v>#REF!</v>
      </c>
      <c r="AD107" s="63" t="e">
        <f>IF(AND(M107="",#REF!&lt;&gt;"*"),"",IF(AND(M107="",#REF!="*"),"Error 1.1",IF(ISNUMBER(M107)=FALSE,"Error 1.2",IF(M107&lt;0,"Error 1.3",""))))</f>
        <v>#REF!</v>
      </c>
      <c r="AE107" s="63" t="e">
        <f>IF(AND(N107="",#REF!&lt;&gt;"*"),"",IF(AND(N107="",#REF!="*"),"Error 1.1",IF(ISNUMBER(N107)=FALSE,"Error 1.2",IF(N107&lt;0,"Error 1.3",""))))</f>
        <v>#REF!</v>
      </c>
      <c r="AF107" s="115"/>
      <c r="AI107" s="63" t="e">
        <f>IF(AND(R107="",#REF!&lt;&gt;"*"),"",IF(AND(R107="",#REF!="*"),"Error 1.1",IF(ISNUMBER(R107)=FALSE,"Error 1.2",IF(R107&lt;0,"Error 1.3",""))))</f>
        <v>#REF!</v>
      </c>
      <c r="AN107" s="23" t="e">
        <f>IF(LEN(TRIM(#REF!&amp;#REF!&amp;#REF!&amp;#REF!&amp;#REF!&amp;#REF!&amp;#REF!&amp;#REF!&amp;#REF!&amp;AC107&amp;AD107&amp;AE107&amp;AF107&amp;AG107&amp;AH107&amp;AI107&amp;AJ107&amp;AK107&amp;AL107&amp;AM107))&gt;0,1,0)</f>
        <v>#REF!</v>
      </c>
    </row>
    <row r="108" spans="1:40" s="2" customFormat="1" ht="12.75">
      <c r="A108" s="44">
        <v>66</v>
      </c>
      <c r="B108" s="45" t="s">
        <v>14</v>
      </c>
      <c r="C108" s="67">
        <f>E14</f>
        <v>54496368</v>
      </c>
      <c r="D108" s="67">
        <f>E16</f>
        <v>9501571</v>
      </c>
      <c r="E108" s="67">
        <f>E28</f>
        <v>10629411</v>
      </c>
      <c r="F108" s="67">
        <f>E52</f>
        <v>23910511</v>
      </c>
      <c r="G108" s="117">
        <f>E54</f>
        <v>98537861</v>
      </c>
      <c r="H108" s="67">
        <f>E80</f>
        <v>6774425.72</v>
      </c>
      <c r="I108" s="67">
        <f>E82</f>
        <v>91763435.28</v>
      </c>
      <c r="J108" s="118"/>
      <c r="K108" s="61">
        <v>11187417</v>
      </c>
      <c r="L108" s="61">
        <f>1191801+11545341+6912863-6774426-11187417</f>
        <v>1688162</v>
      </c>
      <c r="M108" s="61">
        <v>17649156</v>
      </c>
      <c r="N108" s="62">
        <f>SUM(I108)-SUM(K108,L108,M108)</f>
        <v>61238700.28</v>
      </c>
      <c r="O108" s="60"/>
      <c r="P108" s="60"/>
      <c r="Q108" s="119"/>
      <c r="R108" s="61">
        <v>3830092.71</v>
      </c>
      <c r="AC108" s="63" t="e">
        <f>IF(AND(L108="",#REF!&lt;&gt;"*"),"",IF(AND(L108="",#REF!="*"),"Error 1.1",IF(ISNUMBER(L108)=FALSE,"Error 1.2",IF(L108&lt;0,"Error 1.3",""))))</f>
        <v>#REF!</v>
      </c>
      <c r="AD108" s="63" t="e">
        <f>IF(AND(M108="",#REF!&lt;&gt;"*"),"",IF(AND(M108="",#REF!="*"),"Error 1.1",IF(ISNUMBER(M108)=FALSE,"Error 1.2",IF(M108&lt;0,"Error 1.3",""))))</f>
        <v>#REF!</v>
      </c>
      <c r="AE108" s="63" t="e">
        <f>IF(AND(N108="",#REF!&lt;&gt;"*"),"",IF(AND(N108="",#REF!="*"),"Error 1.1",IF(ISNUMBER(N108)=FALSE,"Error 1.2",IF(N108&lt;0,"Error 1.3",""))))</f>
        <v>#REF!</v>
      </c>
      <c r="AF108" s="115"/>
      <c r="AI108" s="63" t="e">
        <f>IF(AND(R108="",#REF!&lt;&gt;"*"),"",IF(AND(R108="",#REF!="*"),"Error 1.1",IF(ISNUMBER(R108)=FALSE,"Error 1.2",IF(R108&lt;0,"Error 1.3",""))))</f>
        <v>#REF!</v>
      </c>
      <c r="AN108" s="23" t="e">
        <f>IF(LEN(TRIM(#REF!&amp;#REF!&amp;#REF!&amp;#REF!&amp;#REF!&amp;#REF!&amp;#REF!&amp;#REF!&amp;#REF!&amp;AC108&amp;AD108&amp;AE108&amp;AF108&amp;AG108&amp;AH108&amp;AI108&amp;AJ108&amp;AK108&amp;AL108&amp;AM108))&gt;0,1,0)</f>
        <v>#REF!</v>
      </c>
    </row>
    <row r="109" spans="1:40" s="2" customFormat="1" ht="12.75" customHeight="1" thickBot="1">
      <c r="A109" s="44">
        <v>67</v>
      </c>
      <c r="B109" s="45" t="s">
        <v>15</v>
      </c>
      <c r="C109" s="120">
        <f>F14</f>
        <v>4406233</v>
      </c>
      <c r="D109" s="67">
        <f>F16</f>
        <v>3291071</v>
      </c>
      <c r="E109" s="67">
        <f>F28</f>
        <v>1105260</v>
      </c>
      <c r="F109" s="67">
        <f>F52</f>
        <v>1587504</v>
      </c>
      <c r="G109" s="117">
        <f>F54</f>
        <v>10390068</v>
      </c>
      <c r="H109" s="67">
        <f>F80</f>
        <v>559960.4099999999</v>
      </c>
      <c r="I109" s="67">
        <f>F82</f>
        <v>9830107.59</v>
      </c>
      <c r="J109" s="118"/>
      <c r="K109" s="77">
        <v>701296</v>
      </c>
      <c r="L109" s="61">
        <f>1666991-559960-701296</f>
        <v>405735</v>
      </c>
      <c r="M109" s="61">
        <v>0</v>
      </c>
      <c r="N109" s="78">
        <f>SUM(I109)-SUM(K109,L109,M109)</f>
        <v>8723076.59</v>
      </c>
      <c r="O109" s="60"/>
      <c r="P109" s="60"/>
      <c r="Q109" s="119"/>
      <c r="R109" s="61">
        <v>1008477</v>
      </c>
      <c r="AC109" s="63" t="e">
        <f>IF(AND(L109="",#REF!&lt;&gt;"*"),"",IF(AND(L109="",#REF!="*"),"Error 1.1",IF(ISNUMBER(L109)=FALSE,"Error 1.2",IF(L109&lt;0,"Error 1.3",""))))</f>
        <v>#REF!</v>
      </c>
      <c r="AD109" s="63" t="e">
        <f>IF(AND(M109="",#REF!&lt;&gt;"*"),"",IF(AND(M109="",#REF!="*"),"Error 1.1",IF(ISNUMBER(M109)=FALSE,"Error 1.2",IF(M109&lt;0,"Error 1.3",""))))</f>
        <v>#REF!</v>
      </c>
      <c r="AE109" s="63" t="e">
        <f>IF(AND(N109="",#REF!&lt;&gt;"*"),"",IF(AND(N109="",#REF!="*"),"Error 1.1",IF(ISNUMBER(N109)=FALSE,"Error 1.2",IF(N109&lt;0,"Error 1.3",""))))</f>
        <v>#REF!</v>
      </c>
      <c r="AF109" s="115"/>
      <c r="AI109" s="63" t="e">
        <f>IF(AND(R109="",#REF!&lt;&gt;"*"),"",IF(AND(R109="",#REF!="*"),"Error 1.1",IF(ISNUMBER(R109)=FALSE,"Error 1.2",IF(R109&lt;0,"Error 1.3",""))))</f>
        <v>#REF!</v>
      </c>
      <c r="AN109" s="23" t="e">
        <f>IF(LEN(TRIM(#REF!&amp;#REF!&amp;#REF!&amp;#REF!&amp;#REF!&amp;#REF!&amp;#REF!&amp;#REF!&amp;#REF!&amp;AC109&amp;AD109&amp;AE109&amp;AF109&amp;AG109&amp;AH109&amp;AI109&amp;AJ109&amp;AK109&amp;AL109&amp;AM109))&gt;0,1,0)</f>
        <v>#REF!</v>
      </c>
    </row>
    <row r="110" spans="1:40" s="2" customFormat="1" ht="13.5" customHeight="1" thickBot="1">
      <c r="A110" s="44">
        <v>68</v>
      </c>
      <c r="B110" s="64" t="s">
        <v>142</v>
      </c>
      <c r="C110" s="121">
        <f>G14</f>
        <v>107972999</v>
      </c>
      <c r="D110" s="122">
        <f>G16</f>
        <v>31195836</v>
      </c>
      <c r="E110" s="123">
        <f>G28</f>
        <v>22290250</v>
      </c>
      <c r="F110" s="123">
        <f>G52</f>
        <v>46347539</v>
      </c>
      <c r="G110" s="123">
        <f>G54</f>
        <v>207806624</v>
      </c>
      <c r="H110" s="123">
        <f>G80</f>
        <v>11874249.780000001</v>
      </c>
      <c r="I110" s="123">
        <f>G82</f>
        <v>195932374.22</v>
      </c>
      <c r="J110" s="124"/>
      <c r="K110" s="66">
        <f>SUM(K106:K109)</f>
        <v>21532690</v>
      </c>
      <c r="L110" s="66">
        <f>SUM(L106:L109)</f>
        <v>3870329</v>
      </c>
      <c r="M110" s="66">
        <f>SUM(M106:M109)</f>
        <v>17649156</v>
      </c>
      <c r="N110" s="66">
        <f>SUM(I110)-SUM(K110,L110,M110)</f>
        <v>152880199.22</v>
      </c>
      <c r="O110" s="125"/>
      <c r="P110" s="125"/>
      <c r="AC110" s="63" t="e">
        <f>IF(AND(L110="",#REF!&lt;&gt;"*"),"",IF(AND(L110="",#REF!="*"),"Error 1.1",IF(ISNUMBER(L110)=FALSE,"Error 1.2",IF(L110&lt;0,"Error 1.3",""))))</f>
        <v>#REF!</v>
      </c>
      <c r="AD110" s="63" t="e">
        <f>IF(AND(M110="",#REF!&lt;&gt;"*"),"",IF(AND(M110="",#REF!="*"),"Error 1.1",IF(ISNUMBER(M110)=FALSE,"Error 1.2",IF(M110&lt;0,"Error 1.3",""))))</f>
        <v>#REF!</v>
      </c>
      <c r="AE110" s="63" t="e">
        <f>IF(AND(N110="",#REF!&lt;&gt;"*"),"",IF(AND(N110="",#REF!="*"),"Error 1.1",IF(ISNUMBER(N110)=FALSE,"Error 1.2",IF(N110&lt;0,"Error 1.3",""))))</f>
        <v>#REF!</v>
      </c>
      <c r="AF110" s="115"/>
      <c r="AI110" s="126"/>
      <c r="AN110" s="23" t="e">
        <f>IF(LEN(TRIM(#REF!&amp;#REF!&amp;#REF!&amp;#REF!&amp;#REF!&amp;#REF!&amp;#REF!&amp;#REF!&amp;#REF!&amp;AC110&amp;AD110&amp;AE110&amp;AF110&amp;AG110&amp;AH110&amp;AI110&amp;AJ110&amp;AK110&amp;AL110&amp;AM110))&gt;0,1,0)</f>
        <v>#REF!</v>
      </c>
    </row>
    <row r="111" spans="1:32" s="2" customFormat="1" ht="12.75">
      <c r="A111" s="45"/>
      <c r="B111" s="45"/>
      <c r="AE111" s="127"/>
      <c r="AF111" s="96"/>
    </row>
    <row r="112" spans="1:32" s="2" customFormat="1" ht="12.75">
      <c r="A112" s="31" t="s">
        <v>143</v>
      </c>
      <c r="B112" s="31"/>
      <c r="C112" s="31"/>
      <c r="D112" s="31"/>
      <c r="E112" s="31"/>
      <c r="F112" s="31"/>
      <c r="G112" s="111"/>
      <c r="H112" s="111"/>
      <c r="I112" s="111"/>
      <c r="J112" s="111"/>
      <c r="K112" s="111"/>
      <c r="L112" s="111"/>
      <c r="M112" s="111"/>
      <c r="N112" s="111"/>
      <c r="O112" s="60"/>
      <c r="P112" s="111"/>
      <c r="Q112" s="111"/>
      <c r="R112" s="116"/>
      <c r="S112" s="116"/>
      <c r="T112" s="116"/>
      <c r="U112" s="116"/>
      <c r="AE112" s="128"/>
      <c r="AF112" s="96"/>
    </row>
    <row r="113" spans="1:40" s="2" customFormat="1" ht="12.75">
      <c r="A113" s="44">
        <v>69</v>
      </c>
      <c r="B113" s="45" t="s">
        <v>12</v>
      </c>
      <c r="C113" s="61">
        <v>0</v>
      </c>
      <c r="D113" s="61">
        <v>0</v>
      </c>
      <c r="E113" s="61">
        <v>0</v>
      </c>
      <c r="F113" s="61">
        <v>0</v>
      </c>
      <c r="G113" s="62">
        <f>SUM(C113:F113)</f>
        <v>0</v>
      </c>
      <c r="H113" s="61">
        <v>0</v>
      </c>
      <c r="I113" s="62">
        <f>SUM(G113)-SUM(H113)</f>
        <v>0</v>
      </c>
      <c r="J113" s="129"/>
      <c r="K113" s="61">
        <v>0</v>
      </c>
      <c r="L113" s="61">
        <v>0</v>
      </c>
      <c r="M113" s="61">
        <v>0</v>
      </c>
      <c r="N113" s="62">
        <f>SUM(I113)-SUM(K113,L113,M113)</f>
        <v>0</v>
      </c>
      <c r="P113" s="61">
        <v>0</v>
      </c>
      <c r="Q113" s="61">
        <v>0</v>
      </c>
      <c r="R113" s="61">
        <v>0</v>
      </c>
      <c r="X113" s="67">
        <v>0</v>
      </c>
      <c r="Y113" s="130">
        <v>-0.5</v>
      </c>
      <c r="Z113" s="130">
        <v>0.5</v>
      </c>
      <c r="AA113" s="67">
        <v>1000000</v>
      </c>
      <c r="AC113" s="63" t="e">
        <f>IF(AND(L113="",#REF!&lt;&gt;"*"),"",IF(AND(L113="",#REF!="*"),"Error 1.1",IF(ISNUMBER(L113)=FALSE,"Error 1.2",IF(L113&lt;0,"Error 1.3",""))))</f>
        <v>#REF!</v>
      </c>
      <c r="AD113" s="63" t="e">
        <f>IF(AND(M113="",#REF!&lt;&gt;"*"),"",IF(AND(M113="",#REF!="*"),"Error 1.1",IF(ISNUMBER(M113)=FALSE,"Error 1.2",IF(M113&lt;0,"Error 1.3",""))))</f>
        <v>#REF!</v>
      </c>
      <c r="AE113" s="63" t="e">
        <f>IF(AND(N113="",#REF!&lt;&gt;"*"),"",IF(AND(N113="",#REF!="*"),"Error 1.1",IF(ISNUMBER(N113)=FALSE,"Error 1.2",IF(N113&lt;0,"Error 1.3",""))))</f>
        <v>#REF!</v>
      </c>
      <c r="AF113" s="115"/>
      <c r="AG113" s="63" t="e">
        <f>IF(AND(P113="",#REF!&lt;&gt;"*"),"",IF(AND(P113="",#REF!="*"),"Error 1.1",IF(ISNUMBER(P113)=FALSE,"Error 1.2",IF(P113&lt;0,"Error 1.3",""))))</f>
        <v>#REF!</v>
      </c>
      <c r="AH113" s="63" t="e">
        <f>IF(AND(Q113="",#REF!&lt;&gt;"*"),"",IF(AND(Q113="",#REF!="*"),"Error 1.1",IF(ISNUMBER(Q113)=FALSE,"Error 1.2",IF(Q113&lt;0,"Error 1.3",""))))</f>
        <v>#REF!</v>
      </c>
      <c r="AI113" s="63" t="e">
        <f>IF(AND(R113="",#REF!&lt;&gt;"*"),"",IF(AND(R113="",#REF!="*"),"Error 1.1",IF(ISNUMBER(R113)=FALSE,"Error 1.2",IF(R113&lt;0,"Error 1.3",""))))</f>
        <v>#REF!</v>
      </c>
      <c r="AN113" s="23" t="e">
        <f>IF(LEN(TRIM(#REF!&amp;#REF!&amp;#REF!&amp;#REF!&amp;#REF!&amp;#REF!&amp;#REF!&amp;#REF!&amp;#REF!&amp;AC113&amp;AD113&amp;AE113&amp;AF113&amp;AG113&amp;AH113&amp;AI113&amp;AJ113&amp;AK113&amp;AL113&amp;AM113))&gt;0,1,0)</f>
        <v>#REF!</v>
      </c>
    </row>
    <row r="114" spans="1:40" s="2" customFormat="1" ht="12.75">
      <c r="A114" s="44">
        <v>70</v>
      </c>
      <c r="B114" s="45" t="s">
        <v>13</v>
      </c>
      <c r="C114" s="61">
        <v>400866</v>
      </c>
      <c r="D114" s="61">
        <v>0</v>
      </c>
      <c r="E114" s="61">
        <v>95040</v>
      </c>
      <c r="F114" s="61">
        <v>609</v>
      </c>
      <c r="G114" s="62">
        <f>SUM(C114:F114)</f>
        <v>496515</v>
      </c>
      <c r="H114" s="61">
        <f>588576-(588576-496515)</f>
        <v>496515</v>
      </c>
      <c r="I114" s="62">
        <f>SUM(G114)-SUM(H114)</f>
        <v>0</v>
      </c>
      <c r="J114" s="129"/>
      <c r="K114" s="61">
        <v>0</v>
      </c>
      <c r="L114" s="61">
        <v>0</v>
      </c>
      <c r="M114" s="61">
        <v>0</v>
      </c>
      <c r="N114" s="62">
        <f>SUM(I114)-SUM(K114,L114,M114)</f>
        <v>0</v>
      </c>
      <c r="P114" s="61">
        <v>0</v>
      </c>
      <c r="Q114" s="61">
        <v>0</v>
      </c>
      <c r="R114" s="61">
        <v>0</v>
      </c>
      <c r="X114" s="67">
        <v>533238</v>
      </c>
      <c r="Y114" s="130">
        <v>-0.5</v>
      </c>
      <c r="Z114" s="130">
        <v>0.5</v>
      </c>
      <c r="AA114" s="67">
        <v>1000000</v>
      </c>
      <c r="AC114" s="63" t="e">
        <f>IF(AND(L114="",#REF!&lt;&gt;"*"),"",IF(AND(L114="",#REF!="*"),"Error 1.1",IF(ISNUMBER(L114)=FALSE,"Error 1.2",IF(L114&lt;0,"Error 1.3",""))))</f>
        <v>#REF!</v>
      </c>
      <c r="AD114" s="63" t="e">
        <f>IF(AND(M114="",#REF!&lt;&gt;"*"),"",IF(AND(M114="",#REF!="*"),"Error 1.1",IF(ISNUMBER(M114)=FALSE,"Error 1.2",IF(M114&lt;0,"Error 1.3",""))))</f>
        <v>#REF!</v>
      </c>
      <c r="AE114" s="63" t="e">
        <f>IF(AND(N114="",#REF!&lt;&gt;"*"),"",IF(AND(N114="",#REF!="*"),"Error 1.1",IF(ISNUMBER(N114)=FALSE,"Error 1.2",IF(N114&lt;0,"Error 1.3",""))))</f>
        <v>#REF!</v>
      </c>
      <c r="AF114" s="115"/>
      <c r="AG114" s="63" t="e">
        <f>IF(AND(P114="",#REF!&lt;&gt;"*"),"",IF(AND(P114="",#REF!="*"),"Error 1.1",IF(ISNUMBER(P114)=FALSE,"Error 1.2",IF(P114&lt;0,"Error 1.3",""))))</f>
        <v>#REF!</v>
      </c>
      <c r="AH114" s="63" t="e">
        <f>IF(AND(Q114="",#REF!&lt;&gt;"*"),"",IF(AND(Q114="",#REF!="*"),"Error 1.1",IF(ISNUMBER(Q114)=FALSE,"Error 1.2",IF(Q114&lt;0,"Error 1.3",""))))</f>
        <v>#REF!</v>
      </c>
      <c r="AI114" s="63" t="e">
        <f>IF(AND(R114="",#REF!&lt;&gt;"*"),"",IF(AND(R114="",#REF!="*"),"Error 1.1",IF(ISNUMBER(R114)=FALSE,"Error 1.2",IF(R114&lt;0,"Error 1.3",""))))</f>
        <v>#REF!</v>
      </c>
      <c r="AN114" s="23" t="e">
        <f>IF(LEN(TRIM(#REF!&amp;#REF!&amp;#REF!&amp;#REF!&amp;#REF!&amp;#REF!&amp;#REF!&amp;#REF!&amp;#REF!&amp;AC114&amp;AD114&amp;AE114&amp;AF114&amp;AG114&amp;AH114&amp;AI114&amp;AJ114&amp;AK114&amp;AL114&amp;AM114))&gt;0,1,0)</f>
        <v>#REF!</v>
      </c>
    </row>
    <row r="115" spans="1:40" s="2" customFormat="1" ht="12.75">
      <c r="A115" s="44">
        <v>71</v>
      </c>
      <c r="B115" s="45" t="s">
        <v>14</v>
      </c>
      <c r="C115" s="61">
        <v>10140</v>
      </c>
      <c r="D115" s="61">
        <v>0</v>
      </c>
      <c r="E115" s="61">
        <v>0</v>
      </c>
      <c r="F115" s="61">
        <v>387648</v>
      </c>
      <c r="G115" s="62">
        <f>SUM(C115:F115)</f>
        <v>397788</v>
      </c>
      <c r="H115" s="61">
        <f>32050+92061+14402</f>
        <v>138513</v>
      </c>
      <c r="I115" s="62">
        <f>SUM(G115)-SUM(H115)</f>
        <v>259275</v>
      </c>
      <c r="J115" s="129"/>
      <c r="K115" s="61">
        <v>0</v>
      </c>
      <c r="L115" s="61">
        <v>0</v>
      </c>
      <c r="M115" s="61">
        <v>0</v>
      </c>
      <c r="N115" s="62">
        <f>SUM(I115)-SUM(K115,L115,M115)</f>
        <v>259275</v>
      </c>
      <c r="P115" s="61">
        <v>0</v>
      </c>
      <c r="Q115" s="61">
        <v>0</v>
      </c>
      <c r="R115" s="61">
        <v>0</v>
      </c>
      <c r="X115" s="67">
        <v>329291</v>
      </c>
      <c r="Y115" s="130">
        <v>-0.5</v>
      </c>
      <c r="Z115" s="130">
        <v>0.5</v>
      </c>
      <c r="AA115" s="67">
        <v>1000000</v>
      </c>
      <c r="AC115" s="63" t="e">
        <f>IF(AND(L115="",#REF!&lt;&gt;"*"),"",IF(AND(L115="",#REF!="*"),"Error 1.1",IF(ISNUMBER(L115)=FALSE,"Error 1.2",IF(L115&lt;0,"Error 1.3",""))))</f>
        <v>#REF!</v>
      </c>
      <c r="AD115" s="63" t="e">
        <f>IF(AND(M115="",#REF!&lt;&gt;"*"),"",IF(AND(M115="",#REF!="*"),"Error 1.1",IF(ISNUMBER(M115)=FALSE,"Error 1.2",IF(M115&lt;0,"Error 1.3",""))))</f>
        <v>#REF!</v>
      </c>
      <c r="AE115" s="63" t="e">
        <f>IF(AND(N115="",#REF!&lt;&gt;"*"),"",IF(AND(N115="",#REF!="*"),"Error 1.1",IF(ISNUMBER(N115)=FALSE,"Error 1.2",IF(N115&lt;0,"Error 1.3",""))))</f>
        <v>#REF!</v>
      </c>
      <c r="AF115" s="115"/>
      <c r="AG115" s="63" t="e">
        <f>IF(AND(P115="",#REF!&lt;&gt;"*"),"",IF(AND(P115="",#REF!="*"),"Error 1.1",IF(ISNUMBER(P115)=FALSE,"Error 1.2",IF(P115&lt;0,"Error 1.3",""))))</f>
        <v>#REF!</v>
      </c>
      <c r="AH115" s="63" t="e">
        <f>IF(AND(Q115="",#REF!&lt;&gt;"*"),"",IF(AND(Q115="",#REF!="*"),"Error 1.1",IF(ISNUMBER(Q115)=FALSE,"Error 1.2",IF(Q115&lt;0,"Error 1.3",""))))</f>
        <v>#REF!</v>
      </c>
      <c r="AI115" s="63" t="e">
        <f>IF(AND(R115="",#REF!&lt;&gt;"*"),"",IF(AND(R115="",#REF!="*"),"Error 1.1",IF(ISNUMBER(R115)=FALSE,"Error 1.2",IF(R115&lt;0,"Error 1.3",""))))</f>
        <v>#REF!</v>
      </c>
      <c r="AN115" s="23" t="e">
        <f>IF(LEN(TRIM(#REF!&amp;#REF!&amp;#REF!&amp;#REF!&amp;#REF!&amp;#REF!&amp;#REF!&amp;#REF!&amp;#REF!&amp;AC115&amp;AD115&amp;AE115&amp;AF115&amp;AG115&amp;AH115&amp;AI115&amp;AJ115&amp;AK115&amp;AL115&amp;AM115))&gt;0,1,0)</f>
        <v>#REF!</v>
      </c>
    </row>
    <row r="116" spans="1:40" s="2" customFormat="1" ht="12.75">
      <c r="A116" s="44">
        <v>72</v>
      </c>
      <c r="B116" s="45" t="s">
        <v>15</v>
      </c>
      <c r="C116" s="61">
        <v>15145</v>
      </c>
      <c r="D116" s="61">
        <v>0</v>
      </c>
      <c r="E116" s="61">
        <v>7141</v>
      </c>
      <c r="F116" s="61">
        <v>0</v>
      </c>
      <c r="G116" s="62">
        <f>SUM(C116:F116)</f>
        <v>22286</v>
      </c>
      <c r="H116" s="61">
        <f>36688-14402</f>
        <v>22286</v>
      </c>
      <c r="I116" s="62">
        <f>SUM(G116)-SUM(H116)</f>
        <v>0</v>
      </c>
      <c r="J116" s="129"/>
      <c r="K116" s="61">
        <v>0</v>
      </c>
      <c r="L116" s="61">
        <v>0</v>
      </c>
      <c r="M116" s="61">
        <v>0</v>
      </c>
      <c r="N116" s="62">
        <f>SUM(I116)-SUM(K116,L116,M116)</f>
        <v>0</v>
      </c>
      <c r="P116" s="61">
        <v>0</v>
      </c>
      <c r="Q116" s="61">
        <v>0</v>
      </c>
      <c r="R116" s="61">
        <v>0</v>
      </c>
      <c r="X116" s="67">
        <v>19017</v>
      </c>
      <c r="Y116" s="130">
        <v>-0.5</v>
      </c>
      <c r="Z116" s="130">
        <v>0.5</v>
      </c>
      <c r="AA116" s="67">
        <v>1000000</v>
      </c>
      <c r="AC116" s="63" t="e">
        <f>IF(AND(L116="",#REF!&lt;&gt;"*"),"",IF(AND(L116="",#REF!="*"),"Error 1.1",IF(ISNUMBER(L116)=FALSE,"Error 1.2",IF(L116&lt;0,"Error 1.3",""))))</f>
        <v>#REF!</v>
      </c>
      <c r="AD116" s="63" t="e">
        <f>IF(AND(M116="",#REF!&lt;&gt;"*"),"",IF(AND(M116="",#REF!="*"),"Error 1.1",IF(ISNUMBER(M116)=FALSE,"Error 1.2",IF(M116&lt;0,"Error 1.3",""))))</f>
        <v>#REF!</v>
      </c>
      <c r="AE116" s="63" t="e">
        <f>IF(AND(N116="",#REF!&lt;&gt;"*"),"",IF(AND(N116="",#REF!="*"),"Error 1.1",IF(ISNUMBER(N116)=FALSE,"Error 1.2",IF(N116&lt;0,"Error 1.3",""))))</f>
        <v>#REF!</v>
      </c>
      <c r="AF116" s="115"/>
      <c r="AG116" s="63" t="e">
        <f>IF(AND(P116="",#REF!&lt;&gt;"*"),"",IF(AND(P116="",#REF!="*"),"Error 1.1",IF(ISNUMBER(P116)=FALSE,"Error 1.2",IF(P116&lt;0,"Error 1.3",""))))</f>
        <v>#REF!</v>
      </c>
      <c r="AH116" s="63" t="e">
        <f>IF(AND(Q116="",#REF!&lt;&gt;"*"),"",IF(AND(Q116="",#REF!="*"),"Error 1.1",IF(ISNUMBER(Q116)=FALSE,"Error 1.2",IF(Q116&lt;0,"Error 1.3",""))))</f>
        <v>#REF!</v>
      </c>
      <c r="AI116" s="63" t="e">
        <f>IF(AND(R116="",#REF!&lt;&gt;"*"),"",IF(AND(R116="",#REF!="*"),"Error 1.1",IF(ISNUMBER(R116)=FALSE,"Error 1.2",IF(R116&lt;0,"Error 1.3",""))))</f>
        <v>#REF!</v>
      </c>
      <c r="AN116" s="23" t="e">
        <f>IF(LEN(TRIM(#REF!&amp;#REF!&amp;#REF!&amp;#REF!&amp;#REF!&amp;#REF!&amp;#REF!&amp;#REF!&amp;#REF!&amp;AC116&amp;AD116&amp;AE116&amp;AF116&amp;AG116&amp;AH116&amp;AI116&amp;AJ116&amp;AK116&amp;AL116&amp;AM116))&gt;0,1,0)</f>
        <v>#REF!</v>
      </c>
    </row>
    <row r="117" spans="1:32" s="2" customFormat="1" ht="12.75">
      <c r="A117" s="44"/>
      <c r="B117" s="45"/>
      <c r="C117" s="131"/>
      <c r="J117" s="60"/>
      <c r="K117" s="132"/>
      <c r="L117" s="60"/>
      <c r="N117" s="132"/>
      <c r="P117" s="60"/>
      <c r="Y117" s="133"/>
      <c r="Z117" s="133"/>
      <c r="AA117" s="133"/>
      <c r="AE117" s="134"/>
      <c r="AF117" s="96"/>
    </row>
    <row r="118" spans="1:40" s="2" customFormat="1" ht="12.75" customHeight="1">
      <c r="A118" s="85">
        <v>73</v>
      </c>
      <c r="B118" s="135" t="s">
        <v>144</v>
      </c>
      <c r="C118" s="90">
        <v>69573</v>
      </c>
      <c r="D118" s="90">
        <v>0</v>
      </c>
      <c r="E118" s="90">
        <v>1593602</v>
      </c>
      <c r="F118" s="90">
        <v>2721672</v>
      </c>
      <c r="G118" s="92">
        <f>SUM(C118:F118)</f>
        <v>4384847</v>
      </c>
      <c r="H118" s="90">
        <v>758963</v>
      </c>
      <c r="I118" s="92">
        <f>SUM(G118)-SUM(H118)</f>
        <v>3625884</v>
      </c>
      <c r="J118" s="129"/>
      <c r="K118" s="90">
        <v>0</v>
      </c>
      <c r="L118" s="90">
        <v>0</v>
      </c>
      <c r="M118" s="90">
        <v>0</v>
      </c>
      <c r="N118" s="62">
        <f>SUM(I118)-SUM(K118,L118,M118)</f>
        <v>3625884</v>
      </c>
      <c r="P118" s="60"/>
      <c r="Q118" s="60"/>
      <c r="X118" s="67">
        <v>4400633</v>
      </c>
      <c r="Y118" s="130">
        <v>-0.5</v>
      </c>
      <c r="Z118" s="130">
        <v>0.5</v>
      </c>
      <c r="AA118" s="67">
        <v>1000000</v>
      </c>
      <c r="AC118" s="136" t="e">
        <f>IF(AND(L118="",#REF!&lt;&gt;"*"),"",IF(AND(L118="",#REF!="*"),"Error 1.1",IF(ISNUMBER(L118)=FALSE,"Error 1.2",IF(L118&lt;0,"Error 1.3",""))))</f>
        <v>#REF!</v>
      </c>
      <c r="AD118" s="63" t="e">
        <f>IF(AND(M118="",#REF!&lt;&gt;"*"),"",IF(AND(M118="",#REF!="*"),"Error 1.1",IF(ISNUMBER(M118)=FALSE,"Error 1.2",IF(M118&lt;0,"Error 1.3",""))))</f>
        <v>#REF!</v>
      </c>
      <c r="AE118" s="63" t="e">
        <f>IF(AND(N118="",#REF!&lt;&gt;"*"),"",IF(AND(N118="",#REF!="*"),"Error 1.1",IF(ISNUMBER(N118)=FALSE,"Error 1.2",IF(N118&lt;0,"Error 1.3",""))))</f>
        <v>#REF!</v>
      </c>
      <c r="AF118" s="115"/>
      <c r="AN118" s="23" t="e">
        <f>IF(LEN(TRIM(#REF!&amp;#REF!&amp;#REF!&amp;#REF!&amp;#REF!&amp;#REF!&amp;#REF!&amp;#REF!&amp;#REF!&amp;AC118&amp;AD118&amp;AE118&amp;AF118&amp;AG118&amp;AH118&amp;AI118&amp;AJ118&amp;AK118&amp;AL118&amp;AM118))&gt;0,1,0)</f>
        <v>#REF!</v>
      </c>
    </row>
    <row r="119" spans="1:40" s="2" customFormat="1" ht="12.75">
      <c r="A119" s="44">
        <v>74</v>
      </c>
      <c r="B119" s="45" t="s">
        <v>145</v>
      </c>
      <c r="C119" s="61">
        <v>0</v>
      </c>
      <c r="D119" s="61">
        <v>0</v>
      </c>
      <c r="E119" s="61">
        <v>0</v>
      </c>
      <c r="F119" s="61">
        <v>6410774</v>
      </c>
      <c r="G119" s="62">
        <f>SUM(C119:F119)</f>
        <v>6410774</v>
      </c>
      <c r="H119" s="61">
        <v>769471</v>
      </c>
      <c r="I119" s="62">
        <f>SUM(G119)-SUM(H119)</f>
        <v>5641303</v>
      </c>
      <c r="J119" s="129"/>
      <c r="K119" s="61">
        <v>0</v>
      </c>
      <c r="L119" s="61">
        <v>0</v>
      </c>
      <c r="M119" s="61">
        <v>0</v>
      </c>
      <c r="N119" s="62">
        <f>SUM(I119)-SUM(K119,L119,M119)</f>
        <v>5641303</v>
      </c>
      <c r="P119" s="75"/>
      <c r="Q119" s="60"/>
      <c r="X119" s="67">
        <v>5980616</v>
      </c>
      <c r="Y119" s="130">
        <v>-0.05</v>
      </c>
      <c r="Z119" s="130">
        <v>0.2</v>
      </c>
      <c r="AA119" s="67">
        <v>1000000</v>
      </c>
      <c r="AC119" s="63" t="e">
        <f>IF(AND(L119="",#REF!&lt;&gt;"*"),"",IF(AND(L119="",#REF!="*"),"Error 1.1",IF(ISNUMBER(L119)=FALSE,"Error 1.2",IF(L119&lt;0,"Error 1.3",""))))</f>
        <v>#REF!</v>
      </c>
      <c r="AD119" s="63" t="e">
        <f>IF(AND(M119="",#REF!&lt;&gt;"*"),"",IF(AND(M119="",#REF!="*"),"Error 1.1",IF(ISNUMBER(M119)=FALSE,"Error 1.2",IF(M119&lt;0,"Error 1.3",""))))</f>
        <v>#REF!</v>
      </c>
      <c r="AE119" s="63" t="e">
        <f>IF(AND(N119="",#REF!&lt;&gt;"*"),"",IF(AND(N119="",#REF!="*"),"Error 1.1",IF(ISNUMBER(N119)=FALSE,"Error 1.2",IF(N119&lt;0,"Error 1.3",""))))</f>
        <v>#REF!</v>
      </c>
      <c r="AF119" s="115"/>
      <c r="AN119" s="23" t="e">
        <f>IF(LEN(TRIM(#REF!&amp;#REF!&amp;#REF!&amp;#REF!&amp;#REF!&amp;#REF!&amp;#REF!&amp;#REF!&amp;#REF!&amp;AC119&amp;AD119&amp;AE119&amp;AF119&amp;AG119&amp;AH119&amp;AI119&amp;AJ119&amp;AK119&amp;AL119&amp;AM119))&gt;0,1,0)</f>
        <v>#REF!</v>
      </c>
    </row>
    <row r="120" spans="1:40" s="2" customFormat="1" ht="12.75">
      <c r="A120" s="44">
        <v>75</v>
      </c>
      <c r="B120" s="45" t="s">
        <v>146</v>
      </c>
      <c r="C120" s="61">
        <v>1666623</v>
      </c>
      <c r="D120" s="61">
        <v>37731</v>
      </c>
      <c r="E120" s="61">
        <v>604491</v>
      </c>
      <c r="F120" s="61">
        <v>507925</v>
      </c>
      <c r="G120" s="62">
        <f>SUM(C120:F120)</f>
        <v>2816770</v>
      </c>
      <c r="H120" s="61">
        <f>886558-58000</f>
        <v>828558</v>
      </c>
      <c r="I120" s="62">
        <f>SUM(G120)-SUM(H120)</f>
        <v>1988212</v>
      </c>
      <c r="J120" s="129"/>
      <c r="K120" s="61">
        <v>58000</v>
      </c>
      <c r="L120" s="61">
        <v>0</v>
      </c>
      <c r="M120" s="61">
        <v>0</v>
      </c>
      <c r="N120" s="62">
        <f>SUM(I120)-SUM(K120,L120,M120)</f>
        <v>1930212</v>
      </c>
      <c r="P120" s="61">
        <v>0</v>
      </c>
      <c r="Q120" s="61">
        <v>0</v>
      </c>
      <c r="X120" s="67">
        <v>2491494</v>
      </c>
      <c r="Y120" s="130">
        <v>-0.5</v>
      </c>
      <c r="Z120" s="130">
        <v>0.5</v>
      </c>
      <c r="AA120" s="67">
        <v>1000000</v>
      </c>
      <c r="AC120" s="63" t="e">
        <f>IF(AND(L120="",#REF!&lt;&gt;"*"),"",IF(AND(L120="",#REF!="*"),"Error 1.1",IF(ISNUMBER(L120)=FALSE,"Error 1.2",IF(L120&lt;0,"Error 1.3",""))))</f>
        <v>#REF!</v>
      </c>
      <c r="AD120" s="63" t="e">
        <f>IF(AND(M120="",#REF!&lt;&gt;"*"),"",IF(AND(M120="",#REF!="*"),"Error 1.1",IF(ISNUMBER(M120)=FALSE,"Error 1.2",IF(M120&lt;0,"Error 1.3",""))))</f>
        <v>#REF!</v>
      </c>
      <c r="AE120" s="63" t="e">
        <f>IF(AND(N120="",#REF!&lt;&gt;"*"),"",IF(AND(N120="",#REF!="*"),"Error 1.1",IF(ISNUMBER(N120)=FALSE,"Error 1.2",IF(N120&lt;0,"Error 1.3",""))))</f>
        <v>#REF!</v>
      </c>
      <c r="AF120" s="115"/>
      <c r="AG120" s="63" t="e">
        <f>IF(AND(P120="",#REF!&lt;&gt;"*"),"",IF(AND(P120="",#REF!="*"),"Error 1.1",IF(ISNUMBER(P120)=FALSE,"Error 1.2",IF(P120&lt;0,"Error 1.3",""))))</f>
        <v>#REF!</v>
      </c>
      <c r="AH120" s="63" t="e">
        <f>IF(AND(Q120="",#REF!&lt;&gt;"*"),"",IF(AND(Q120="",#REF!="*"),"Error 1.1",IF(ISNUMBER(Q120)=FALSE,"Error 1.2",IF(Q120&lt;0,"Error 1.3",""))))</f>
        <v>#REF!</v>
      </c>
      <c r="AI120" s="129"/>
      <c r="AN120" s="23" t="e">
        <f>IF(LEN(TRIM(#REF!&amp;#REF!&amp;#REF!&amp;#REF!&amp;#REF!&amp;#REF!&amp;#REF!&amp;#REF!&amp;#REF!&amp;AC120&amp;AD120&amp;AE120&amp;AF120&amp;AG120&amp;AH120&amp;AI120&amp;AJ120&amp;AK120&amp;AL120&amp;AM120))&gt;0,1,0)</f>
        <v>#REF!</v>
      </c>
    </row>
    <row r="121" spans="1:40" s="2" customFormat="1" ht="12.75">
      <c r="A121" s="44">
        <v>76</v>
      </c>
      <c r="B121" s="45" t="s">
        <v>147</v>
      </c>
      <c r="C121" s="61">
        <v>0</v>
      </c>
      <c r="D121" s="61">
        <v>0</v>
      </c>
      <c r="E121" s="61">
        <v>0</v>
      </c>
      <c r="F121" s="61">
        <v>0</v>
      </c>
      <c r="G121" s="62">
        <f>SUM(C121:F121)</f>
        <v>0</v>
      </c>
      <c r="H121" s="61">
        <v>0</v>
      </c>
      <c r="I121" s="62">
        <f>SUM(G121)-SUM(H121)</f>
        <v>0</v>
      </c>
      <c r="J121" s="129"/>
      <c r="K121" s="61">
        <v>0</v>
      </c>
      <c r="L121" s="61">
        <v>0</v>
      </c>
      <c r="M121" s="61">
        <v>0</v>
      </c>
      <c r="N121" s="62">
        <f>SUM(I121)-SUM(K121,L121,M121)</f>
        <v>0</v>
      </c>
      <c r="P121" s="60"/>
      <c r="Q121" s="60"/>
      <c r="X121" s="67">
        <v>0</v>
      </c>
      <c r="Y121" s="130">
        <v>-0.3</v>
      </c>
      <c r="Z121" s="130">
        <v>0.3</v>
      </c>
      <c r="AA121" s="67">
        <v>1000000</v>
      </c>
      <c r="AC121" s="63" t="e">
        <f>IF(AND(L121="",#REF!&lt;&gt;"*"),"",IF(AND(L121="",#REF!="*"),"Error 1.1",IF(ISNUMBER(L121)=FALSE,"Error 1.2",IF(L121&lt;0,"Error 1.3",""))))</f>
        <v>#REF!</v>
      </c>
      <c r="AD121" s="63" t="e">
        <f>IF(AND(M121="",#REF!&lt;&gt;"*"),"",IF(AND(M121="",#REF!="*"),"Error 1.1",IF(ISNUMBER(M121)=FALSE,"Error 1.2",IF(M121&lt;0,"Error 1.3",""))))</f>
        <v>#REF!</v>
      </c>
      <c r="AE121" s="63" t="e">
        <f>IF(AND(N121="",#REF!&lt;&gt;"*"),"",IF(AND(N121="",#REF!="*"),"Error 1.1",IF(ISNUMBER(N121)=FALSE,"Error 1.2",IF(N121&lt;0,"Error 1.3",""))))</f>
        <v>#REF!</v>
      </c>
      <c r="AF121" s="115"/>
      <c r="AI121" s="60"/>
      <c r="AN121" s="23" t="e">
        <f>IF(LEN(TRIM(#REF!&amp;#REF!&amp;#REF!&amp;#REF!&amp;#REF!&amp;#REF!&amp;#REF!&amp;#REF!&amp;#REF!&amp;AC121&amp;AD121&amp;AE121&amp;AF121&amp;AG121&amp;AH121&amp;AI121&amp;AJ121&amp;AK121&amp;AL121&amp;AM121))&gt;0,1,0)</f>
        <v>#REF!</v>
      </c>
    </row>
    <row r="122" spans="1:40" s="2" customFormat="1" ht="12.75" customHeight="1">
      <c r="A122" s="85">
        <v>77</v>
      </c>
      <c r="B122" s="137" t="s">
        <v>148</v>
      </c>
      <c r="C122" s="90">
        <v>604178</v>
      </c>
      <c r="D122" s="90">
        <v>51914</v>
      </c>
      <c r="E122" s="90">
        <v>383842</v>
      </c>
      <c r="F122" s="90">
        <f>1072167+456780</f>
        <v>1528947</v>
      </c>
      <c r="G122" s="92">
        <f>SUM(C122:F122)</f>
        <v>2568881</v>
      </c>
      <c r="H122" s="90">
        <v>2059780</v>
      </c>
      <c r="I122" s="92">
        <f>SUM(G122)-SUM(H122)</f>
        <v>509101</v>
      </c>
      <c r="J122" s="138"/>
      <c r="K122" s="90">
        <v>0</v>
      </c>
      <c r="L122" s="90">
        <v>0</v>
      </c>
      <c r="M122" s="90">
        <v>0</v>
      </c>
      <c r="N122" s="62">
        <f>SUM(I122)-SUM(K122,L122,M122)</f>
        <v>509101</v>
      </c>
      <c r="P122" s="90">
        <v>456780</v>
      </c>
      <c r="Q122" s="90">
        <v>0</v>
      </c>
      <c r="R122" s="139"/>
      <c r="S122" s="139"/>
      <c r="T122" s="139"/>
      <c r="U122" s="139"/>
      <c r="V122" s="139"/>
      <c r="X122" s="67">
        <v>2693417</v>
      </c>
      <c r="Y122" s="130">
        <v>-0.5</v>
      </c>
      <c r="Z122" s="130">
        <v>0.5</v>
      </c>
      <c r="AA122" s="67">
        <v>1000000</v>
      </c>
      <c r="AC122" s="136" t="e">
        <f>IF(AND(L122="",#REF!&lt;&gt;"*"),"",IF(AND(L122="",#REF!="*"),"Error 1.1",IF(ISNUMBER(L122)=FALSE,"Error 1.2",IF(L122&lt;0,"Error 1.3",""))))</f>
        <v>#REF!</v>
      </c>
      <c r="AD122" s="63" t="e">
        <f>IF(AND(M122="",#REF!&lt;&gt;"*"),"",IF(AND(M122="",#REF!="*"),"Error 1.1",IF(ISNUMBER(M122)=FALSE,"Error 1.2",IF(M122&lt;0,"Error 1.3",""))))</f>
        <v>#REF!</v>
      </c>
      <c r="AE122" s="63" t="e">
        <f>IF(AND(N122="",#REF!&lt;&gt;"*"),"",IF(AND(N122="",#REF!="*"),"Error 1.1",IF(ISNUMBER(N122)=FALSE,"Error 1.2",IF(N122&lt;0,"Error 1.3",""))))</f>
        <v>#REF!</v>
      </c>
      <c r="AF122" s="115"/>
      <c r="AG122" s="136" t="e">
        <f>IF(AND(P122="",#REF!&lt;&gt;"*"),"",IF(AND(P122="",#REF!="*"),"Error 1.1",IF(ISNUMBER(P122)=FALSE,"Error 1.2",IF(P122&lt;0,"Error 1.3",""))))</f>
        <v>#REF!</v>
      </c>
      <c r="AH122" s="136" t="e">
        <f>IF(AND(Q122="",#REF!&lt;&gt;"*"),"",IF(AND(Q122="",#REF!="*"),"Error 1.1",IF(ISNUMBER(Q122)=FALSE,"Error 1.2",IF(Q122&lt;0,"Error 1.3",""))))</f>
        <v>#REF!</v>
      </c>
      <c r="AI122" s="129"/>
      <c r="AN122" s="23" t="e">
        <f>IF(LEN(TRIM(#REF!&amp;#REF!&amp;#REF!&amp;#REF!&amp;#REF!&amp;#REF!&amp;#REF!&amp;#REF!&amp;#REF!&amp;AC122&amp;AD122&amp;AE122&amp;AF122&amp;AG122&amp;AH122&amp;AI122&amp;AJ122&amp;AK122&amp;AL122&amp;AM122))&gt;0,1,0)</f>
        <v>#REF!</v>
      </c>
    </row>
    <row r="123" spans="1:35" s="2" customFormat="1" ht="12.75">
      <c r="A123" s="44"/>
      <c r="B123" s="45"/>
      <c r="C123" s="60"/>
      <c r="D123" s="60"/>
      <c r="E123" s="60"/>
      <c r="F123" s="60"/>
      <c r="G123" s="140"/>
      <c r="H123" s="60"/>
      <c r="I123" s="141"/>
      <c r="J123" s="60"/>
      <c r="K123" s="60"/>
      <c r="L123" s="60"/>
      <c r="M123" s="60"/>
      <c r="N123" s="60"/>
      <c r="P123" s="60"/>
      <c r="Q123" s="60"/>
      <c r="R123" s="60"/>
      <c r="AC123" s="142"/>
      <c r="AD123" s="142"/>
      <c r="AE123" s="134"/>
      <c r="AF123" s="96"/>
      <c r="AG123" s="115"/>
      <c r="AH123" s="142"/>
      <c r="AI123" s="143"/>
    </row>
    <row r="124" spans="1:40" s="2" customFormat="1" ht="13.5" customHeight="1">
      <c r="A124" s="144">
        <v>78</v>
      </c>
      <c r="B124" s="145" t="s">
        <v>149</v>
      </c>
      <c r="C124" s="92">
        <f>SUM(C110)+SUM(C113:C116)+SUM(C118:C122)</f>
        <v>110739524</v>
      </c>
      <c r="D124" s="92">
        <f>SUM(D110)+SUM(D113:D116)+SUM(D118:D122)</f>
        <v>31285481</v>
      </c>
      <c r="E124" s="92">
        <f>SUM(E110)+SUM(E113:E116)+SUM(E118:E122)</f>
        <v>24974366</v>
      </c>
      <c r="F124" s="92">
        <f>SUM(F110)+SUM(F113:F116)+SUM(F118:F122)</f>
        <v>57905114</v>
      </c>
      <c r="G124" s="92">
        <f>SUM(C124:F124)</f>
        <v>224904485</v>
      </c>
      <c r="H124" s="92">
        <f>SUM(H110)+SUM(H113:H116)+SUM(H118:H122)</f>
        <v>16948335.78</v>
      </c>
      <c r="I124" s="92">
        <f>SUM(G124)-SUM(H124)</f>
        <v>207956149.22</v>
      </c>
      <c r="J124" s="60"/>
      <c r="K124" s="92">
        <f>SUM(K110)+SUM(K113:K116)+SUM(K118:K122)</f>
        <v>21590690</v>
      </c>
      <c r="L124" s="92">
        <f>SUM(L110)+SUM(L113:L116)+SUM(L118:L122)</f>
        <v>3870329</v>
      </c>
      <c r="M124" s="92">
        <f>SUM(M110)+SUM(M113:M116)+SUM(M118:M122)</f>
        <v>17649156</v>
      </c>
      <c r="N124" s="62">
        <f>SUM(I124)-SUM(K124,L124,M124)</f>
        <v>164845974.22</v>
      </c>
      <c r="P124" s="92">
        <f>SUM(P113:P116)+SUM(P118:P122)</f>
        <v>456780</v>
      </c>
      <c r="Q124" s="92">
        <f>SUM(Q113:Q116)+SUM(Q118:Q122)</f>
        <v>0</v>
      </c>
      <c r="AC124" s="136" t="e">
        <f>IF(AND(L124="",#REF!&lt;&gt;"*"),"",IF(AND(L124="",#REF!="*"),"Error 1.1",IF(ISNUMBER(L124)=FALSE,"Error 1.2",IF(L124&lt;0,"Error 1.3",""))))</f>
        <v>#REF!</v>
      </c>
      <c r="AD124" s="63" t="e">
        <f>IF(AND(M124="",#REF!&lt;&gt;"*"),"",IF(AND(M124="",#REF!="*"),"Error 1.1",IF(ISNUMBER(M124)=FALSE,"Error 1.2",IF(M124&lt;0,"Error 1.3",""))))</f>
        <v>#REF!</v>
      </c>
      <c r="AE124" s="63" t="e">
        <f>IF(AND(N124="",#REF!&lt;&gt;"*"),"",IF(AND(N124="",#REF!="*"),"Error 1.1",IF(ISNUMBER(N124)=FALSE,"Error 1.2",IF(N124&lt;0,"Error 1.3",""))))</f>
        <v>#REF!</v>
      </c>
      <c r="AF124" s="115"/>
      <c r="AG124" s="136" t="e">
        <f>IF(AND(P124="",#REF!&lt;&gt;"*"),"",IF(AND(P124="",#REF!="*"),"Error 1.1",IF(ISNUMBER(P124)=FALSE,"Error 1.2",IF(P124&lt;0,"Error 1.3",""))))</f>
        <v>#REF!</v>
      </c>
      <c r="AH124" s="136" t="e">
        <f>IF(AND(Q124="",#REF!&lt;&gt;"*"),"",IF(AND(Q124="",#REF!="*"),"Error 1.1",IF(ISNUMBER(Q124)=FALSE,"Error 1.2",IF(Q124&lt;0,"Error 1.3",""))))</f>
        <v>#REF!</v>
      </c>
      <c r="AI124" s="129"/>
      <c r="AN124" s="23" t="e">
        <f>IF(LEN(TRIM(#REF!&amp;#REF!&amp;#REF!&amp;#REF!&amp;#REF!&amp;#REF!&amp;#REF!&amp;#REF!&amp;#REF!&amp;AC124&amp;AD124&amp;AE124&amp;AF124&amp;AG124&amp;AH124&amp;AI124&amp;AJ124&amp;AK124&amp;AL124&amp;AM124))&gt;0,1,0)</f>
        <v>#REF!</v>
      </c>
    </row>
    <row r="125" spans="1:32" s="2" customFormat="1" ht="12.75">
      <c r="A125" s="45"/>
      <c r="B125" s="45"/>
      <c r="AC125" s="142"/>
      <c r="AD125" s="142"/>
      <c r="AE125" s="134"/>
      <c r="AF125" s="96"/>
    </row>
    <row r="126" spans="1:40" s="2" customFormat="1" ht="12.75">
      <c r="A126" s="146">
        <v>79</v>
      </c>
      <c r="B126" s="44" t="s">
        <v>150</v>
      </c>
      <c r="C126" s="60"/>
      <c r="D126" s="60"/>
      <c r="E126" s="147"/>
      <c r="F126" s="60"/>
      <c r="G126" s="61">
        <v>733470</v>
      </c>
      <c r="H126" s="61">
        <v>0</v>
      </c>
      <c r="I126" s="62">
        <f>SUM(G126)-SUM(H126)</f>
        <v>733470</v>
      </c>
      <c r="J126" s="60"/>
      <c r="K126" s="61">
        <v>703470</v>
      </c>
      <c r="L126" s="61">
        <v>0</v>
      </c>
      <c r="M126" s="61">
        <v>0</v>
      </c>
      <c r="N126" s="62">
        <f>SUM(I126)-SUM(K126,L126,M126)</f>
        <v>30000</v>
      </c>
      <c r="AC126" s="136" t="e">
        <f>IF(AND(L126="",#REF!&lt;&gt;"*"),"",IF(AND(L126="",#REF!="*"),"Error 1.1",IF(ISNUMBER(L126)=FALSE,"Error 1.2",IF(L126&lt;0,"Error 1.3",""))))</f>
        <v>#REF!</v>
      </c>
      <c r="AD126" s="63" t="e">
        <f>IF(AND(M126="",#REF!&lt;&gt;"*"),"",IF(AND(M126="",#REF!="*"),"Error 1.1",IF(ISNUMBER(M126)=FALSE,"Error 1.2",IF(M126&lt;0,"Error 1.3",""))))</f>
        <v>#REF!</v>
      </c>
      <c r="AE126" s="63" t="e">
        <f>IF(AND(N126="",#REF!&lt;&gt;"*"),"",IF(AND(N126="",#REF!="*"),"Error 1.1",IF(ISNUMBER(N126)=FALSE,"Error 1.2",IF(N126&lt;0,"Error 1.3",""))))</f>
        <v>#REF!</v>
      </c>
      <c r="AF126" s="148"/>
      <c r="AN126" s="23" t="e">
        <f>IF(LEN(TRIM(#REF!&amp;#REF!&amp;#REF!&amp;#REF!&amp;#REF!&amp;#REF!&amp;#REF!&amp;#REF!&amp;#REF!&amp;AC126&amp;AD126&amp;AE126&amp;AF126&amp;AG126&amp;AH126&amp;AI126&amp;AJ126&amp;AK126&amp;AL126&amp;AM126))&gt;0,1,0)</f>
        <v>#REF!</v>
      </c>
    </row>
    <row r="127" spans="1:32" s="2" customFormat="1" ht="12.75">
      <c r="A127" s="146"/>
      <c r="B127" s="44"/>
      <c r="C127" s="60"/>
      <c r="D127" s="60"/>
      <c r="E127" s="60"/>
      <c r="F127" s="60"/>
      <c r="G127" s="149"/>
      <c r="H127" s="60"/>
      <c r="I127" s="141"/>
      <c r="J127" s="60"/>
      <c r="K127" s="60"/>
      <c r="L127" s="60"/>
      <c r="M127" s="60"/>
      <c r="N127" s="60"/>
      <c r="AC127" s="142"/>
      <c r="AD127" s="142"/>
      <c r="AE127" s="134"/>
      <c r="AF127" s="96"/>
    </row>
    <row r="128" spans="1:40" s="2" customFormat="1" ht="12.75">
      <c r="A128" s="146">
        <v>80</v>
      </c>
      <c r="B128" s="74" t="s">
        <v>151</v>
      </c>
      <c r="C128" s="149"/>
      <c r="D128" s="149"/>
      <c r="E128" s="149"/>
      <c r="F128" s="149"/>
      <c r="G128" s="62">
        <f>SUM(G113:G116)+SUM(G118:G122)+SUM(G126)</f>
        <v>17831331</v>
      </c>
      <c r="H128" s="62">
        <f>SUM(H113:H116)+SUM(H118:H122)+SUM(H126)</f>
        <v>5074086</v>
      </c>
      <c r="I128" s="62">
        <f>SUM(G128)-SUM(H128)</f>
        <v>12757245</v>
      </c>
      <c r="J128" s="60"/>
      <c r="K128" s="62">
        <f>SUM(K113:K116)+SUM(K118:K122)+SUM(K126)</f>
        <v>761470</v>
      </c>
      <c r="L128" s="62">
        <f>SUM(L113:L116)+SUM(L118:L122)+SUM(L126)</f>
        <v>0</v>
      </c>
      <c r="M128" s="62">
        <f>SUM(M113:M116)+SUM(M118:M122)+SUM(M126)</f>
        <v>0</v>
      </c>
      <c r="N128" s="62">
        <f>SUM(I128)-SUM(K128,L128,M128)</f>
        <v>11995775</v>
      </c>
      <c r="AC128" s="136" t="e">
        <f>IF(AND(L128="",#REF!&lt;&gt;"*"),"",IF(AND(L128="",#REF!="*"),"Error 1.1",IF(ISNUMBER(L128)=FALSE,"Error 1.2",IF(L128&lt;0,"Error 1.3",""))))</f>
        <v>#REF!</v>
      </c>
      <c r="AD128" s="63" t="e">
        <f>IF(AND(M128="",#REF!&lt;&gt;"*"),"",IF(AND(M128="",#REF!="*"),"Error 1.1",IF(ISNUMBER(M128)=FALSE,"Error 1.2",IF(M128&lt;0,"Error 1.3",""))))</f>
        <v>#REF!</v>
      </c>
      <c r="AE128" s="63" t="e">
        <f>IF(AND(N128="",#REF!&lt;&gt;"*"),"",IF(AND(N128="",#REF!="*"),"Error 1.1",IF(ISNUMBER(N128)=FALSE,"Error 1.2",IF(N128&lt;0,"Error 1.3",""))))</f>
        <v>#REF!</v>
      </c>
      <c r="AF128" s="148"/>
      <c r="AN128" s="23" t="e">
        <f>IF(LEN(TRIM(#REF!&amp;#REF!&amp;#REF!&amp;#REF!&amp;#REF!&amp;#REF!&amp;#REF!&amp;#REF!&amp;#REF!&amp;AC128&amp;AD128&amp;AE128&amp;AF128&amp;AG128&amp;AH128&amp;AI128&amp;AJ128&amp;AK128&amp;AL128&amp;AM128))&gt;0,1,0)</f>
        <v>#REF!</v>
      </c>
    </row>
    <row r="129" spans="1:32" s="2" customFormat="1" ht="12.75">
      <c r="A129" s="146"/>
      <c r="B129" s="44"/>
      <c r="C129" s="60"/>
      <c r="D129" s="60"/>
      <c r="E129" s="60"/>
      <c r="F129" s="60"/>
      <c r="G129" s="149"/>
      <c r="H129" s="60"/>
      <c r="I129" s="141"/>
      <c r="J129" s="60"/>
      <c r="K129" s="60"/>
      <c r="L129" s="60"/>
      <c r="M129" s="60"/>
      <c r="N129" s="60"/>
      <c r="AC129" s="142"/>
      <c r="AD129" s="142"/>
      <c r="AE129" s="134"/>
      <c r="AF129" s="96"/>
    </row>
    <row r="130" spans="1:40" s="2" customFormat="1" ht="12.75">
      <c r="A130" s="146">
        <v>81</v>
      </c>
      <c r="B130" s="74" t="s">
        <v>152</v>
      </c>
      <c r="C130" s="149"/>
      <c r="D130" s="149"/>
      <c r="E130" s="149"/>
      <c r="F130" s="149"/>
      <c r="G130" s="62">
        <f>SUM(G84)+SUM(G110)+SUM(G128)</f>
        <v>227481859.4</v>
      </c>
      <c r="H130" s="62">
        <f>SUM(H110)+SUM(H128)</f>
        <v>16948335.78</v>
      </c>
      <c r="I130" s="62">
        <f>SUM(G130)-SUM(H130)</f>
        <v>210533523.62</v>
      </c>
      <c r="J130" s="60"/>
      <c r="K130" s="62">
        <f>SUM(K110)+SUM(K128)</f>
        <v>22294160</v>
      </c>
      <c r="L130" s="62">
        <f>SUM(L110)+SUM(L128)</f>
        <v>3870329</v>
      </c>
      <c r="M130" s="62">
        <f>SUM(M110)+SUM(M128)</f>
        <v>17649156</v>
      </c>
      <c r="N130" s="62">
        <f>SUM(I130)-SUM(K130,L130,M130)</f>
        <v>166719878.62</v>
      </c>
      <c r="AC130" s="136" t="e">
        <f>IF(AND(L130="",#REF!&lt;&gt;"*"),"",IF(AND(L130="",#REF!="*"),"Error 1.1",IF(ISNUMBER(L130)=FALSE,"Error 1.2",IF(L130&lt;0,"Error 1.3",""))))</f>
        <v>#REF!</v>
      </c>
      <c r="AD130" s="63" t="e">
        <f>IF(AND(M130="",#REF!&lt;&gt;"*"),"",IF(AND(M130="",#REF!="*"),"Error 1.1",IF(ISNUMBER(M130)=FALSE,"Error 1.2",IF(M130&lt;0,"Error 1.3",""))))</f>
        <v>#REF!</v>
      </c>
      <c r="AE130" s="76" t="e">
        <f>IF(AND(N130="",#REF!&lt;&gt;"*"),"",IF(AND(N130="",#REF!="*"),"Error 1.1",IF(ISNUMBER(N130)=FALSE,"Error 1.2",IF(N130&lt;0,"Error 1.3",""))))</f>
        <v>#REF!</v>
      </c>
      <c r="AF130" s="115"/>
      <c r="AN130" s="23" t="e">
        <f>IF(LEN(TRIM(#REF!&amp;#REF!&amp;#REF!&amp;#REF!&amp;#REF!&amp;#REF!&amp;#REF!&amp;#REF!&amp;#REF!&amp;AC130&amp;AD130&amp;AE130&amp;AF130&amp;AG130&amp;AH130&amp;AI130&amp;AJ130&amp;AK130&amp;AL130&amp;AM130))&gt;0,1,0)</f>
        <v>#REF!</v>
      </c>
    </row>
    <row r="131" spans="1:32" s="2" customFormat="1" ht="12.75">
      <c r="A131" s="45"/>
      <c r="B131" s="45"/>
      <c r="AE131" s="127"/>
      <c r="AF131" s="96"/>
    </row>
    <row r="132" spans="1:32" s="2" customFormat="1" ht="12.75">
      <c r="A132" s="114" t="s">
        <v>153</v>
      </c>
      <c r="B132" s="114"/>
      <c r="C132" s="60"/>
      <c r="D132" s="60"/>
      <c r="E132" s="60"/>
      <c r="F132" s="60"/>
      <c r="G132" s="149"/>
      <c r="H132" s="60"/>
      <c r="I132" s="141"/>
      <c r="J132" s="60"/>
      <c r="K132" s="60"/>
      <c r="L132" s="60"/>
      <c r="M132" s="60"/>
      <c r="N132" s="60"/>
      <c r="O132" s="60"/>
      <c r="P132" s="60"/>
      <c r="Q132" s="60"/>
      <c r="AE132" s="96"/>
      <c r="AF132" s="96"/>
    </row>
    <row r="133" spans="1:32" s="2" customFormat="1" ht="12.75">
      <c r="A133" s="150"/>
      <c r="B133" s="45"/>
      <c r="C133" s="60"/>
      <c r="D133" s="60"/>
      <c r="E133" s="60"/>
      <c r="F133" s="60"/>
      <c r="G133" s="149"/>
      <c r="H133" s="60"/>
      <c r="I133" s="141"/>
      <c r="J133" s="60"/>
      <c r="K133" s="60"/>
      <c r="L133" s="60"/>
      <c r="M133" s="60"/>
      <c r="N133" s="60"/>
      <c r="O133" s="60"/>
      <c r="P133" s="60"/>
      <c r="Q133" s="60"/>
      <c r="AE133" s="96"/>
      <c r="AF133" s="96"/>
    </row>
    <row r="134" spans="1:32" s="2" customFormat="1" ht="12.75">
      <c r="A134" s="31" t="s">
        <v>154</v>
      </c>
      <c r="B134" s="31"/>
      <c r="C134" s="60"/>
      <c r="D134" s="60"/>
      <c r="E134" s="60"/>
      <c r="F134" s="60"/>
      <c r="G134" s="149"/>
      <c r="H134" s="60"/>
      <c r="I134" s="141"/>
      <c r="J134" s="60"/>
      <c r="K134" s="60"/>
      <c r="L134" s="60"/>
      <c r="M134" s="60"/>
      <c r="N134" s="60"/>
      <c r="O134" s="60"/>
      <c r="P134" s="60"/>
      <c r="Q134" s="60"/>
      <c r="AE134" s="96"/>
      <c r="AF134" s="96"/>
    </row>
    <row r="135" spans="1:32" s="2" customFormat="1" ht="12.75">
      <c r="A135" s="150"/>
      <c r="B135" s="64" t="s">
        <v>155</v>
      </c>
      <c r="C135" s="60"/>
      <c r="D135" s="60"/>
      <c r="E135" s="60"/>
      <c r="F135" s="60"/>
      <c r="G135" s="149"/>
      <c r="H135" s="60"/>
      <c r="I135" s="141"/>
      <c r="J135" s="60"/>
      <c r="K135" s="60"/>
      <c r="L135" s="60"/>
      <c r="M135" s="60"/>
      <c r="N135" s="60"/>
      <c r="O135" s="60"/>
      <c r="P135" s="60"/>
      <c r="Q135" s="60"/>
      <c r="AE135" s="128"/>
      <c r="AF135" s="96"/>
    </row>
    <row r="136" spans="1:40" s="2" customFormat="1" ht="12.75">
      <c r="A136" s="44">
        <v>82</v>
      </c>
      <c r="B136" s="45" t="s">
        <v>155</v>
      </c>
      <c r="C136" s="61">
        <v>500</v>
      </c>
      <c r="D136" s="61">
        <v>0</v>
      </c>
      <c r="E136" s="61">
        <v>1162919</v>
      </c>
      <c r="F136" s="61">
        <v>4664658</v>
      </c>
      <c r="G136" s="62">
        <f>SUM(C136:F136)</f>
        <v>5828077</v>
      </c>
      <c r="H136" s="61">
        <f>1881819-114343</f>
        <v>1767476</v>
      </c>
      <c r="I136" s="62">
        <f>SUM(G136)-SUM(H136)</f>
        <v>4060601</v>
      </c>
      <c r="J136" s="129"/>
      <c r="K136" s="61">
        <v>0</v>
      </c>
      <c r="L136" s="61">
        <v>114343</v>
      </c>
      <c r="M136" s="61">
        <v>0</v>
      </c>
      <c r="N136" s="62">
        <f>SUM(I136)-SUM(K136,L136,M136)</f>
        <v>3946258</v>
      </c>
      <c r="O136" s="60"/>
      <c r="P136" s="75"/>
      <c r="X136" s="67">
        <v>4974077</v>
      </c>
      <c r="Y136" s="130">
        <v>-0.5</v>
      </c>
      <c r="Z136" s="130">
        <v>0.5</v>
      </c>
      <c r="AA136" s="67">
        <v>1000000</v>
      </c>
      <c r="AC136" s="63" t="e">
        <f>IF(AND(L136="",#REF!&lt;&gt;"*"),"",IF(AND(L136="",#REF!="*"),"Error 1.1",IF(ISNUMBER(L136)=FALSE,"Error 1.2",IF(L136&lt;0,"Error 1.3",""))))</f>
        <v>#REF!</v>
      </c>
      <c r="AD136" s="63" t="e">
        <f>IF(AND(M136="",#REF!&lt;&gt;"*"),"",IF(AND(M136="",#REF!="*"),"Error 1.1",IF(ISNUMBER(M136)=FALSE,"Error 1.2",IF(M136&lt;0,"Error 1.3",""))))</f>
        <v>#REF!</v>
      </c>
      <c r="AE136" s="63" t="e">
        <f>IF(AND(N136="",#REF!&lt;&gt;"*"),"",IF(AND(N136="",#REF!="*"),"Error 1.1",IF(ISNUMBER(N136)=FALSE,"Error 1.2",IF(N136&lt;0,"Error 1.3",""))))</f>
        <v>#REF!</v>
      </c>
      <c r="AF136" s="115"/>
      <c r="AN136" s="23" t="e">
        <f>IF(LEN(TRIM(#REF!&amp;#REF!&amp;#REF!&amp;#REF!&amp;#REF!&amp;#REF!&amp;#REF!&amp;#REF!&amp;#REF!&amp;AC136&amp;AD136&amp;AE136&amp;AF136&amp;AG136&amp;AH136&amp;AI136&amp;AJ136&amp;AK136&amp;AL136&amp;AM136))&gt;0,1,0)</f>
        <v>#REF!</v>
      </c>
    </row>
    <row r="137" spans="1:40" s="2" customFormat="1" ht="12.75">
      <c r="A137" s="44">
        <v>83</v>
      </c>
      <c r="B137" s="45" t="s">
        <v>156</v>
      </c>
      <c r="C137" s="61">
        <v>0</v>
      </c>
      <c r="D137" s="61">
        <v>0</v>
      </c>
      <c r="E137" s="61">
        <v>56905</v>
      </c>
      <c r="F137" s="61">
        <v>108131</v>
      </c>
      <c r="G137" s="62">
        <f>SUM(C137:F137)</f>
        <v>165036</v>
      </c>
      <c r="H137" s="61">
        <f>139957-126344-11727</f>
        <v>1886</v>
      </c>
      <c r="I137" s="62">
        <f>SUM(G137)-SUM(H137)</f>
        <v>163150</v>
      </c>
      <c r="J137" s="129"/>
      <c r="K137" s="61">
        <v>11727</v>
      </c>
      <c r="L137" s="61">
        <v>126344</v>
      </c>
      <c r="M137" s="61">
        <v>0</v>
      </c>
      <c r="N137" s="62">
        <f>SUM(I137)-SUM(K137,L137,M137)</f>
        <v>25079</v>
      </c>
      <c r="O137" s="60"/>
      <c r="P137" s="61">
        <v>0</v>
      </c>
      <c r="Q137" s="61">
        <v>0</v>
      </c>
      <c r="X137" s="67">
        <v>82273</v>
      </c>
      <c r="Y137" s="130">
        <v>-0.3</v>
      </c>
      <c r="Z137" s="130">
        <v>0.3</v>
      </c>
      <c r="AA137" s="67">
        <v>250000</v>
      </c>
      <c r="AC137" s="63" t="e">
        <f>IF(AND(L137="",#REF!&lt;&gt;"*"),"",IF(AND(L137="",#REF!="*"),"Error 1.1",IF(ISNUMBER(L137)=FALSE,"Error 1.2",IF(L137&lt;0,"Error 1.3",""))))</f>
        <v>#REF!</v>
      </c>
      <c r="AD137" s="63" t="e">
        <f>IF(AND(M137="",#REF!&lt;&gt;"*"),"",IF(AND(M137="",#REF!="*"),"Error 1.1",IF(ISNUMBER(M137)=FALSE,"Error 1.2",IF(M137&lt;0,"Error 1.3",""))))</f>
        <v>#REF!</v>
      </c>
      <c r="AE137" s="63" t="e">
        <f>IF(AND(N137="",#REF!&lt;&gt;"*"),"",IF(AND(N137="",#REF!="*"),"Error 1.1",IF(ISNUMBER(N137)=FALSE,"Error 1.2",IF(N137&lt;0,"Error 1.3",""))))</f>
        <v>#REF!</v>
      </c>
      <c r="AF137" s="115"/>
      <c r="AG137" s="63" t="e">
        <f>IF(AND(P137="",#REF!&lt;&gt;"*"),"",IF(AND(P137="",#REF!="*"),"Error 1.1",IF(ISNUMBER(P137)=FALSE,"Error 1.2",IF(P137&lt;0,"Error 1.3",""))))</f>
        <v>#REF!</v>
      </c>
      <c r="AH137" s="63" t="e">
        <f>IF(AND(Q137="",#REF!&lt;&gt;"*"),"",IF(AND(Q137="",#REF!="*"),"Error 1.1",IF(ISNUMBER(Q137)=FALSE,"Error 1.2",IF(Q137&lt;0,"Error 1.3",""))))</f>
        <v>#REF!</v>
      </c>
      <c r="AN137" s="23" t="e">
        <f>IF(LEN(TRIM(#REF!&amp;#REF!&amp;#REF!&amp;#REF!&amp;#REF!&amp;#REF!&amp;#REF!&amp;#REF!&amp;#REF!&amp;AC137&amp;AD137&amp;AE137&amp;AF137&amp;AG137&amp;AH137&amp;AI137&amp;AJ137&amp;AK137&amp;AL137&amp;AM137))&gt;0,1,0)</f>
        <v>#REF!</v>
      </c>
    </row>
    <row r="138" spans="1:40" s="2" customFormat="1" ht="12.75">
      <c r="A138" s="44">
        <v>84</v>
      </c>
      <c r="B138" s="45" t="s">
        <v>157</v>
      </c>
      <c r="C138" s="61">
        <v>80792</v>
      </c>
      <c r="D138" s="61">
        <v>0</v>
      </c>
      <c r="E138" s="61">
        <v>12425</v>
      </c>
      <c r="F138" s="61">
        <v>68184</v>
      </c>
      <c r="G138" s="62">
        <f>SUM(C138:F138)</f>
        <v>161401</v>
      </c>
      <c r="H138" s="61">
        <v>161401</v>
      </c>
      <c r="I138" s="62">
        <f>SUM(G138)-SUM(H138)</f>
        <v>0</v>
      </c>
      <c r="J138" s="129"/>
      <c r="K138" s="61">
        <v>0</v>
      </c>
      <c r="L138" s="61">
        <v>0</v>
      </c>
      <c r="M138" s="61">
        <v>0</v>
      </c>
      <c r="N138" s="62">
        <f>SUM(I138)-SUM(K138,L138,M138)</f>
        <v>0</v>
      </c>
      <c r="O138" s="60"/>
      <c r="P138" s="126"/>
      <c r="Q138" s="126"/>
      <c r="X138" s="67">
        <v>83850</v>
      </c>
      <c r="Y138" s="130">
        <v>-0.05</v>
      </c>
      <c r="Z138" s="130">
        <v>0.2</v>
      </c>
      <c r="AA138" s="67">
        <v>250000</v>
      </c>
      <c r="AC138" s="63" t="e">
        <f>IF(AND(L138="",#REF!&lt;&gt;"*"),"",IF(AND(L138="",#REF!="*"),"Error 1.1",IF(ISNUMBER(L138)=FALSE,"Error 1.2",IF(L138&lt;0,"Error 1.3",""))))</f>
        <v>#REF!</v>
      </c>
      <c r="AD138" s="63" t="e">
        <f>IF(AND(M138="",#REF!&lt;&gt;"*"),"",IF(AND(M138="",#REF!="*"),"Error 1.1",IF(ISNUMBER(M138)=FALSE,"Error 1.2",IF(M138&lt;0,"Error 1.3",""))))</f>
        <v>#REF!</v>
      </c>
      <c r="AE138" s="63" t="e">
        <f>IF(AND(N138="",#REF!&lt;&gt;"*"),"",IF(AND(N138="",#REF!="*"),"Error 1.1",IF(ISNUMBER(N138)=FALSE,"Error 1.2",IF(N138&lt;0,"Error 1.3",""))))</f>
        <v>#REF!</v>
      </c>
      <c r="AF138" s="115"/>
      <c r="AN138" s="23" t="e">
        <f>IF(LEN(TRIM(#REF!&amp;#REF!&amp;#REF!&amp;#REF!&amp;#REF!&amp;#REF!&amp;#REF!&amp;#REF!&amp;#REF!&amp;AC138&amp;AD138&amp;AE138&amp;AF138&amp;AG138&amp;AH138&amp;AI138&amp;AJ138&amp;AK138&amp;AL138&amp;AM138))&gt;0,1,0)</f>
        <v>#REF!</v>
      </c>
    </row>
    <row r="139" spans="1:40" s="2" customFormat="1" ht="12" customHeight="1">
      <c r="A139" s="85">
        <v>85</v>
      </c>
      <c r="B139" s="135" t="s">
        <v>158</v>
      </c>
      <c r="C139" s="90">
        <v>0</v>
      </c>
      <c r="D139" s="90">
        <v>0</v>
      </c>
      <c r="E139" s="90">
        <v>1109128</v>
      </c>
      <c r="F139" s="90">
        <v>0</v>
      </c>
      <c r="G139" s="92">
        <f>SUM(C139:F139)</f>
        <v>1109128</v>
      </c>
      <c r="H139" s="90">
        <v>327</v>
      </c>
      <c r="I139" s="92">
        <f>SUM(G139)-SUM(H139)</f>
        <v>1108801</v>
      </c>
      <c r="J139" s="129"/>
      <c r="K139" s="90">
        <v>0</v>
      </c>
      <c r="L139" s="90">
        <v>0</v>
      </c>
      <c r="M139" s="90">
        <v>0</v>
      </c>
      <c r="N139" s="62">
        <f>SUM(I139)-SUM(K139,L139,M139)</f>
        <v>1108801</v>
      </c>
      <c r="O139" s="60"/>
      <c r="P139" s="90">
        <v>0</v>
      </c>
      <c r="Q139" s="90">
        <v>0</v>
      </c>
      <c r="X139" s="67">
        <v>982601</v>
      </c>
      <c r="Y139" s="130">
        <v>-0.3</v>
      </c>
      <c r="Z139" s="130">
        <v>0.3</v>
      </c>
      <c r="AA139" s="67">
        <v>1000000</v>
      </c>
      <c r="AC139" s="136" t="e">
        <f>IF(AND(L139="",#REF!&lt;&gt;"*"),"",IF(AND(L139="",#REF!="*"),"Error 1.1",IF(ISNUMBER(L139)=FALSE,"Error 1.2",IF(L139&lt;0,"Error 1.3",""))))</f>
        <v>#REF!</v>
      </c>
      <c r="AD139" s="63" t="e">
        <f>IF(AND(M139="",#REF!&lt;&gt;"*"),"",IF(AND(M139="",#REF!="*"),"Error 1.1",IF(ISNUMBER(M139)=FALSE,"Error 1.2",IF(M139&lt;0,"Error 1.3",""))))</f>
        <v>#REF!</v>
      </c>
      <c r="AE139" s="63" t="e">
        <f>IF(AND(N139="",#REF!&lt;&gt;"*"),"",IF(AND(N139="",#REF!="*"),"Error 1.1",IF(ISNUMBER(N139)=FALSE,"Error 1.2",IF(N139&lt;0,"Error 1.3",""))))</f>
        <v>#REF!</v>
      </c>
      <c r="AF139" s="115"/>
      <c r="AG139" s="136" t="e">
        <f>IF(AND(P139="",#REF!&lt;&gt;"*"),"",IF(AND(P139="",#REF!="*"),"Error 1.1",IF(ISNUMBER(P139)=FALSE,"Error 1.2",IF(P139&lt;0,"Error 1.3",""))))</f>
        <v>#REF!</v>
      </c>
      <c r="AH139" s="136" t="e">
        <f>IF(AND(Q139="",#REF!&lt;&gt;"*"),"",IF(AND(Q139="",#REF!="*"),"Error 1.1",IF(ISNUMBER(Q139)=FALSE,"Error 1.2",IF(Q139&lt;0,"Error 1.3",""))))</f>
        <v>#REF!</v>
      </c>
      <c r="AN139" s="23" t="e">
        <f>IF(LEN(TRIM(#REF!&amp;#REF!&amp;#REF!&amp;#REF!&amp;#REF!&amp;#REF!&amp;#REF!&amp;#REF!&amp;#REF!&amp;AC139&amp;AD139&amp;AE139&amp;AF139&amp;AG139&amp;AH139&amp;AI139&amp;AJ139&amp;AK139&amp;AL139&amp;AM139))&gt;0,1,0)</f>
        <v>#REF!</v>
      </c>
    </row>
    <row r="140" spans="1:40" s="2" customFormat="1" ht="12.75">
      <c r="A140" s="44">
        <v>86</v>
      </c>
      <c r="B140" s="93" t="s">
        <v>159</v>
      </c>
      <c r="C140" s="62">
        <f>SUM(C136:C139)</f>
        <v>81292</v>
      </c>
      <c r="D140" s="62">
        <f>SUM(D136:D139)</f>
        <v>0</v>
      </c>
      <c r="E140" s="62">
        <f>SUM(E136:E139)</f>
        <v>2341377</v>
      </c>
      <c r="F140" s="62">
        <f>SUM(F136:F139)</f>
        <v>4840973</v>
      </c>
      <c r="G140" s="62">
        <f>SUM(C140:F140)</f>
        <v>7263642</v>
      </c>
      <c r="H140" s="62">
        <f>SUM(H136:H139)</f>
        <v>1931090</v>
      </c>
      <c r="I140" s="62">
        <f>SUM(G140)-SUM(H140)</f>
        <v>5332552</v>
      </c>
      <c r="J140" s="129"/>
      <c r="K140" s="62">
        <f>SUM(K136:K139)</f>
        <v>11727</v>
      </c>
      <c r="L140" s="62">
        <f>SUM(L136:L139)</f>
        <v>240687</v>
      </c>
      <c r="M140" s="62">
        <f>SUM(M136:M139)</f>
        <v>0</v>
      </c>
      <c r="N140" s="62">
        <f>SUM(I140)-SUM(K140,L140,M140)</f>
        <v>5080138</v>
      </c>
      <c r="O140" s="60"/>
      <c r="P140" s="60"/>
      <c r="Q140" s="60"/>
      <c r="AC140" s="136" t="e">
        <f>IF(AND(L140="",#REF!&lt;&gt;"*"),"",IF(AND(L140="",#REF!="*"),"Error 1.1",IF(ISNUMBER(L140)=FALSE,"Error 1.2",IF(L140&lt;0,"Error 1.3",""))))</f>
        <v>#REF!</v>
      </c>
      <c r="AD140" s="76" t="e">
        <f>IF(AND(M140="",#REF!&lt;&gt;"*"),"",IF(AND(M140="",#REF!="*"),"Error 1.1",IF(ISNUMBER(M140)=FALSE,"Error 1.2",IF(M140&lt;0,"Error 1.3",""))))</f>
        <v>#REF!</v>
      </c>
      <c r="AE140" s="76" t="e">
        <f>IF(AND(N140="",#REF!&lt;&gt;"*"),"",IF(AND(N140="",#REF!="*"),"Error 1.1",IF(ISNUMBER(N140)=FALSE,"Error 1.2",IF(N140&lt;0,"Error 1.3",""))))</f>
        <v>#REF!</v>
      </c>
      <c r="AF140" s="115"/>
      <c r="AN140" s="23" t="e">
        <f>IF(LEN(TRIM(#REF!&amp;#REF!&amp;#REF!&amp;#REF!&amp;#REF!&amp;#REF!&amp;#REF!&amp;#REF!&amp;#REF!&amp;AC140&amp;AD140&amp;AE140&amp;AF140&amp;AG140&amp;AH140&amp;AI140&amp;AJ140&amp;AK140&amp;AL140&amp;AM140))&gt;0,1,0)</f>
        <v>#REF!</v>
      </c>
    </row>
    <row r="141" spans="1:32" s="2" customFormat="1" ht="12.75">
      <c r="A141" s="44"/>
      <c r="B141" s="93"/>
      <c r="C141" s="69"/>
      <c r="D141" s="69"/>
      <c r="E141" s="69"/>
      <c r="F141" s="69"/>
      <c r="G141" s="69"/>
      <c r="H141" s="69"/>
      <c r="I141" s="69"/>
      <c r="J141" s="60"/>
      <c r="K141" s="69"/>
      <c r="L141" s="69"/>
      <c r="M141" s="69"/>
      <c r="N141" s="69"/>
      <c r="O141" s="60"/>
      <c r="P141" s="60"/>
      <c r="Q141" s="60"/>
      <c r="AC141" s="60"/>
      <c r="AD141" s="151"/>
      <c r="AE141" s="127"/>
      <c r="AF141" s="96"/>
    </row>
    <row r="142" spans="1:32" s="2" customFormat="1" ht="12.75">
      <c r="A142" s="44"/>
      <c r="B142" s="93" t="s">
        <v>160</v>
      </c>
      <c r="C142" s="60"/>
      <c r="D142" s="60"/>
      <c r="E142" s="60"/>
      <c r="F142" s="60"/>
      <c r="G142" s="149"/>
      <c r="H142" s="60"/>
      <c r="I142" s="141"/>
      <c r="J142" s="60"/>
      <c r="K142" s="60"/>
      <c r="L142" s="60"/>
      <c r="M142" s="60"/>
      <c r="N142" s="60"/>
      <c r="O142" s="60"/>
      <c r="P142" s="60"/>
      <c r="Q142" s="60"/>
      <c r="AD142" s="115"/>
      <c r="AE142" s="96"/>
      <c r="AF142" s="96"/>
    </row>
    <row r="143" spans="1:32" s="2" customFormat="1" ht="12.75" customHeight="1" hidden="1">
      <c r="A143" s="44"/>
      <c r="B143" s="93"/>
      <c r="C143" s="60"/>
      <c r="D143" s="60"/>
      <c r="E143" s="60"/>
      <c r="F143" s="60"/>
      <c r="G143" s="149"/>
      <c r="H143" s="60"/>
      <c r="I143" s="141"/>
      <c r="J143" s="60"/>
      <c r="K143" s="60"/>
      <c r="L143" s="60"/>
      <c r="M143" s="60"/>
      <c r="N143" s="60"/>
      <c r="O143" s="60"/>
      <c r="P143" s="60"/>
      <c r="Q143" s="60"/>
      <c r="AD143" s="60"/>
      <c r="AE143" s="128"/>
      <c r="AF143" s="96"/>
    </row>
    <row r="144" spans="1:40" s="2" customFormat="1" ht="12.75">
      <c r="A144" s="44">
        <v>87</v>
      </c>
      <c r="B144" s="45" t="s">
        <v>161</v>
      </c>
      <c r="C144" s="61">
        <v>972771</v>
      </c>
      <c r="D144" s="61">
        <v>0</v>
      </c>
      <c r="E144" s="61">
        <v>149681</v>
      </c>
      <c r="F144" s="61">
        <v>179188</v>
      </c>
      <c r="G144" s="62">
        <f aca="true" t="shared" si="6" ref="G144:G150">SUM(C144:F144)</f>
        <v>1301640</v>
      </c>
      <c r="H144" s="61">
        <f>747672-203534</f>
        <v>544138</v>
      </c>
      <c r="I144" s="62">
        <f aca="true" t="shared" si="7" ref="I144:I150">SUM(G144)-SUM(H144)</f>
        <v>757502</v>
      </c>
      <c r="J144" s="129"/>
      <c r="K144" s="61">
        <v>203534</v>
      </c>
      <c r="L144" s="61">
        <v>0</v>
      </c>
      <c r="M144" s="61">
        <v>0</v>
      </c>
      <c r="N144" s="62">
        <f aca="true" t="shared" si="8" ref="N144:N150">SUM(I144)-SUM(K144,L144,M144)</f>
        <v>553968</v>
      </c>
      <c r="O144" s="60"/>
      <c r="P144" s="60"/>
      <c r="Q144" s="60"/>
      <c r="AC144" s="63" t="e">
        <f>IF(AND(L144="",#REF!&lt;&gt;"*"),"",IF(AND(L144="",#REF!="*"),"Error 1.1",IF(ISNUMBER(L144)=FALSE,"Error 1.2",IF(L144&lt;0,"Error 1.3",""))))</f>
        <v>#REF!</v>
      </c>
      <c r="AD144" s="63" t="e">
        <f>IF(AND(M144="",#REF!&lt;&gt;"*"),"",IF(AND(M144="",#REF!="*"),"Error 1.1",IF(ISNUMBER(M144)=FALSE,"Error 1.2",IF(M144&lt;0,"Error 1.3",""))))</f>
        <v>#REF!</v>
      </c>
      <c r="AE144" s="63" t="e">
        <f>IF(AND(N144="",#REF!&lt;&gt;"*"),"",IF(AND(N144="",#REF!="*"),"Error 1.1",IF(ISNUMBER(N144)=FALSE,"Error 1.2",IF(N144&lt;0,"Error 1.3",""))))</f>
        <v>#REF!</v>
      </c>
      <c r="AF144" s="115"/>
      <c r="AN144" s="23" t="e">
        <f>IF(LEN(TRIM(#REF!&amp;#REF!&amp;#REF!&amp;#REF!&amp;#REF!&amp;#REF!&amp;#REF!&amp;#REF!&amp;#REF!&amp;AC144&amp;AD144&amp;AE144&amp;AF144&amp;AG144&amp;AH144&amp;AI144&amp;AJ144&amp;AK144&amp;AL144&amp;AM144))&gt;0,1,0)</f>
        <v>#REF!</v>
      </c>
    </row>
    <row r="145" spans="1:40" s="2" customFormat="1" ht="12.75" customHeight="1">
      <c r="A145" s="85">
        <v>88</v>
      </c>
      <c r="B145" s="135" t="s">
        <v>162</v>
      </c>
      <c r="C145" s="90">
        <v>448214</v>
      </c>
      <c r="D145" s="90">
        <v>0</v>
      </c>
      <c r="E145" s="90">
        <v>7605056</v>
      </c>
      <c r="F145" s="90">
        <f>13239631+146094</f>
        <v>13385725</v>
      </c>
      <c r="G145" s="92">
        <f t="shared" si="6"/>
        <v>21438995</v>
      </c>
      <c r="H145" s="90">
        <f>378362+87764+4200209+115661</f>
        <v>4781996</v>
      </c>
      <c r="I145" s="92">
        <f t="shared" si="7"/>
        <v>16656999</v>
      </c>
      <c r="J145" s="152"/>
      <c r="K145" s="90">
        <v>7336627</v>
      </c>
      <c r="L145" s="90">
        <v>436869</v>
      </c>
      <c r="M145" s="90">
        <v>0</v>
      </c>
      <c r="N145" s="62">
        <f t="shared" si="8"/>
        <v>8883503</v>
      </c>
      <c r="O145" s="60"/>
      <c r="P145" s="90">
        <v>146094</v>
      </c>
      <c r="Q145" s="90">
        <v>115661</v>
      </c>
      <c r="R145" s="153"/>
      <c r="S145" s="153"/>
      <c r="T145" s="153"/>
      <c r="U145" s="153"/>
      <c r="V145" s="153"/>
      <c r="X145" s="153"/>
      <c r="Y145" s="153"/>
      <c r="Z145" s="153"/>
      <c r="AA145" s="153"/>
      <c r="AC145" s="136" t="e">
        <f>IF(AND(L145="",#REF!&lt;&gt;"*"),"",IF(AND(L145="",#REF!="*"),"Error 1.1",IF(ISNUMBER(L145)=FALSE,"Error 1.2",IF(L145&lt;0,"Error 1.3",""))))</f>
        <v>#REF!</v>
      </c>
      <c r="AD145" s="63" t="e">
        <f>IF(AND(M145="",#REF!&lt;&gt;"*"),"",IF(AND(M145="",#REF!="*"),"Error 1.1",IF(ISNUMBER(M145)=FALSE,"Error 1.2",IF(M145&lt;0,"Error 1.3",""))))</f>
        <v>#REF!</v>
      </c>
      <c r="AE145" s="63" t="e">
        <f>IF(AND(N145="",#REF!&lt;&gt;"*"),"",IF(AND(N145="",#REF!="*"),"Error 1.1",IF(ISNUMBER(N145)=FALSE,"Error 1.2",IF(N145&lt;0,"Error 1.3",""))))</f>
        <v>#REF!</v>
      </c>
      <c r="AF145" s="115"/>
      <c r="AG145" s="136" t="e">
        <f>IF(AND(P145="",#REF!&lt;&gt;"*"),"",IF(AND(P145="",#REF!="*"),"Error 1.1",IF(ISNUMBER(P145)=FALSE,"Error 1.2",IF(P145&lt;0,"Error 1.3",""))))</f>
        <v>#REF!</v>
      </c>
      <c r="AH145" s="136" t="e">
        <f>IF(AND(Q145="",#REF!&lt;&gt;"*"),"",IF(AND(Q145="",#REF!="*"),"Error 1.1",IF(ISNUMBER(Q145)=FALSE,"Error 1.2",IF(Q145&lt;0,"Error 1.3",""))))</f>
        <v>#REF!</v>
      </c>
      <c r="AN145" s="23" t="e">
        <f>IF(LEN(TRIM(#REF!&amp;#REF!&amp;#REF!&amp;#REF!&amp;#REF!&amp;#REF!&amp;#REF!&amp;#REF!&amp;#REF!&amp;AC145&amp;AD145&amp;AE145&amp;AF145&amp;AG145&amp;AH145&amp;AI145&amp;AJ145&amp;AK145&amp;AL145&amp;AM145))&gt;0,1,0)</f>
        <v>#REF!</v>
      </c>
    </row>
    <row r="146" spans="1:40" s="2" customFormat="1" ht="12.75">
      <c r="A146" s="44">
        <v>89</v>
      </c>
      <c r="B146" s="45" t="s">
        <v>163</v>
      </c>
      <c r="C146" s="61">
        <v>0</v>
      </c>
      <c r="D146" s="61">
        <v>0</v>
      </c>
      <c r="E146" s="61">
        <f>882044-E148</f>
        <v>793840</v>
      </c>
      <c r="F146" s="61">
        <f>3585553-F148</f>
        <v>3226998</v>
      </c>
      <c r="G146" s="62">
        <f t="shared" si="6"/>
        <v>4020838</v>
      </c>
      <c r="H146" s="61">
        <v>110786</v>
      </c>
      <c r="I146" s="62">
        <f t="shared" si="7"/>
        <v>3910052</v>
      </c>
      <c r="J146" s="129"/>
      <c r="K146" s="61">
        <v>0</v>
      </c>
      <c r="L146" s="61">
        <v>0</v>
      </c>
      <c r="M146" s="61">
        <v>0</v>
      </c>
      <c r="N146" s="62">
        <f t="shared" si="8"/>
        <v>3910052</v>
      </c>
      <c r="O146" s="60"/>
      <c r="P146" s="126"/>
      <c r="S146" s="61">
        <v>0</v>
      </c>
      <c r="T146" s="61">
        <v>0</v>
      </c>
      <c r="U146" s="61">
        <v>0</v>
      </c>
      <c r="V146" s="61">
        <v>4356811</v>
      </c>
      <c r="AC146" s="63" t="e">
        <f>IF(AND(L146="",#REF!&lt;&gt;"*"),"",IF(AND(L146="",#REF!="*"),"Error 1.1",IF(ISNUMBER(L146)=FALSE,"Error 1.2",IF(L146&lt;0,"Error 1.3",""))))</f>
        <v>#REF!</v>
      </c>
      <c r="AD146" s="63" t="e">
        <f>IF(AND(M146="",#REF!&lt;&gt;"*"),"",IF(AND(M146="",#REF!="*"),"Error 1.1",IF(ISNUMBER(M146)=FALSE,"Error 1.2",IF(M146&lt;0,"Error 1.3",""))))</f>
        <v>#REF!</v>
      </c>
      <c r="AE146" s="63" t="e">
        <f>IF(AND(N146="",#REF!&lt;&gt;"*"),"",IF(AND(N146="",#REF!="*"),"Error 1.1",IF(ISNUMBER(N146)=FALSE,"Error 1.2",IF(N146&lt;0,"Error 1.3",""))))</f>
        <v>#REF!</v>
      </c>
      <c r="AF146" s="115"/>
      <c r="AJ146" s="63" t="e">
        <f>IF(AND(S146="",#REF!&lt;&gt;"*"),"",IF(AND(S146="",#REF!="*"),"Error 1.1",IF(ISNUMBER(S146)=FALSE,"Error 1.2",IF(S146&lt;0,"Error 1.3",IF(ABS(SUM(I146)-SUM(S146:V146))&gt;1000,"Error 3.1.1","")))))</f>
        <v>#REF!</v>
      </c>
      <c r="AK146" s="63" t="e">
        <f>IF(AND(T146="",#REF!&lt;&gt;"*"),"",IF(AND(T146="",#REF!="*"),"Error 1.1",IF(ISNUMBER(T146)=FALSE,"Error 1.2",IF(T146&lt;0,"Error 1.3",IF(ABS(SUM(I146)-SUM(S146:V146))&gt;1000,"Error 3.1.1","")))))</f>
        <v>#REF!</v>
      </c>
      <c r="AL146" s="63" t="e">
        <f>IF(AND(U146="",#REF!&lt;&gt;"*"),"",IF(AND(U146="",#REF!="*"),"Error 1.1",IF(ISNUMBER(U146)=FALSE,"Error 1.2",IF(U146&lt;0,"Error 1.3",IF(ABS(SUM(I146)-SUM(S146:V146))&gt;1000,"Error 3.1.1","")))))</f>
        <v>#REF!</v>
      </c>
      <c r="AM146" s="63" t="e">
        <f>IF(AND(V146="",#REF!&lt;&gt;"*"),"",IF(AND(V146="",#REF!="*"),"Error 1.1",IF(ISNUMBER(V146)=FALSE,"Error 1.2",IF(V146&lt;0,"Error 1.3",IF(ABS(SUM(I146)-SUM(S146:V146))&gt;1000,"Error 3.1.1","")))))</f>
        <v>#REF!</v>
      </c>
      <c r="AN146" s="23" t="e">
        <f>IF(LEN(TRIM(#REF!&amp;#REF!&amp;#REF!&amp;#REF!&amp;#REF!&amp;#REF!&amp;#REF!&amp;#REF!&amp;#REF!&amp;AC146&amp;AD146&amp;AE146&amp;AF146&amp;AG146&amp;AH146&amp;AI146&amp;AJ146&amp;AK146&amp;AL146&amp;AM146))&gt;0,1,0)</f>
        <v>#REF!</v>
      </c>
    </row>
    <row r="147" spans="1:40" s="2" customFormat="1" ht="12.75" customHeight="1">
      <c r="A147" s="85">
        <v>90</v>
      </c>
      <c r="B147" s="135" t="s">
        <v>164</v>
      </c>
      <c r="C147" s="90">
        <v>0</v>
      </c>
      <c r="D147" s="90">
        <v>0</v>
      </c>
      <c r="E147" s="90">
        <v>79708</v>
      </c>
      <c r="F147" s="90">
        <v>302774</v>
      </c>
      <c r="G147" s="92">
        <f t="shared" si="6"/>
        <v>382482</v>
      </c>
      <c r="H147" s="90">
        <v>0</v>
      </c>
      <c r="I147" s="92">
        <f t="shared" si="7"/>
        <v>382482</v>
      </c>
      <c r="J147" s="129"/>
      <c r="K147" s="90">
        <v>0</v>
      </c>
      <c r="L147" s="90">
        <v>77947</v>
      </c>
      <c r="M147" s="90">
        <v>222710</v>
      </c>
      <c r="N147" s="62">
        <f t="shared" si="8"/>
        <v>81825</v>
      </c>
      <c r="O147" s="60"/>
      <c r="P147" s="60"/>
      <c r="S147" s="90">
        <v>0</v>
      </c>
      <c r="T147" s="90">
        <f>382482*0.05</f>
        <v>19124.100000000002</v>
      </c>
      <c r="U147" s="90">
        <f>382482*0.95</f>
        <v>363357.89999999997</v>
      </c>
      <c r="V147" s="90">
        <v>0</v>
      </c>
      <c r="AC147" s="136" t="e">
        <f>IF(AND(L147="",#REF!&lt;&gt;"*"),"",IF(AND(L147="",#REF!="*"),"Error 1.1",IF(ISNUMBER(L147)=FALSE,"Error 1.2",IF(L147&lt;0,"Error 1.3",""))))</f>
        <v>#REF!</v>
      </c>
      <c r="AD147" s="63" t="e">
        <f>IF(AND(M147="",#REF!&lt;&gt;"*"),"",IF(AND(M147="",#REF!="*"),"Error 1.1",IF(ISNUMBER(M147)=FALSE,"Error 1.2",IF(M147&lt;0,"Error 1.3",""))))</f>
        <v>#REF!</v>
      </c>
      <c r="AE147" s="63" t="e">
        <f>IF(AND(N147="",#REF!&lt;&gt;"*"),"",IF(AND(N147="",#REF!="*"),"Error 1.1",IF(ISNUMBER(N147)=FALSE,"Error 1.2",IF(N147&lt;0,"Error 1.3",""))))</f>
        <v>#REF!</v>
      </c>
      <c r="AF147" s="115"/>
      <c r="AJ147" s="136" t="e">
        <f>IF(AND(S147="",#REF!&lt;&gt;"*"),"",IF(AND(S147="",#REF!="*"),"Error 1.1",IF(ISNUMBER(S147)=FALSE,"Error 1.2",IF(S147&lt;0,"Error 1.3",IF(ABS(SUM(I147)-SUM(S147:V147))&gt;1000,"Error 3.1.2","")))))</f>
        <v>#REF!</v>
      </c>
      <c r="AK147" s="136" t="e">
        <f>IF(AND(T147="",#REF!&lt;&gt;"*"),"",IF(AND(T147="",#REF!="*"),"Error 1.1",IF(ISNUMBER(T147)=FALSE,"Error 1.2",IF(T147&lt;0,"Error 1.3",IF(ABS(SUM(I147)-SUM(S147:V147))&gt;1000,"Error 3.1.2","")))))</f>
        <v>#REF!</v>
      </c>
      <c r="AL147" s="136" t="e">
        <f>IF(AND(U147="",#REF!&lt;&gt;"*"),"",IF(AND(U147="",#REF!="*"),"Error 1.1",IF(ISNUMBER(U147)=FALSE,"Error 1.2",IF(U147&lt;0,"Error 1.3",IF(ABS(SUM(I147)-SUM(S147:V147))&gt;1000,"Error 3.1.2","")))))</f>
        <v>#REF!</v>
      </c>
      <c r="AM147" s="136" t="e">
        <f>IF(AND(V147="",#REF!&lt;&gt;"*"),"",IF(AND(V147="",#REF!="*"),"Error 1.1",IF(ISNUMBER(V147)=FALSE,"Error 1.2",IF(V147&lt;0,"Error 1.3",IF(ABS(SUM(I147)-SUM(S147:V147))&gt;1000,"Error 3.1.2","")))))</f>
        <v>#REF!</v>
      </c>
      <c r="AN147" s="23" t="e">
        <f>IF(LEN(TRIM(#REF!&amp;#REF!&amp;#REF!&amp;#REF!&amp;#REF!&amp;#REF!&amp;#REF!&amp;#REF!&amp;#REF!&amp;AC147&amp;AD147&amp;AE147&amp;AF147&amp;AG147&amp;AH147&amp;AI147&amp;AJ147&amp;AK147&amp;AL147&amp;AM147))&gt;0,1,0)</f>
        <v>#REF!</v>
      </c>
    </row>
    <row r="148" spans="1:40" s="2" customFormat="1" ht="12.75">
      <c r="A148" s="44">
        <v>91</v>
      </c>
      <c r="B148" s="45" t="s">
        <v>165</v>
      </c>
      <c r="C148" s="61">
        <v>0</v>
      </c>
      <c r="D148" s="61">
        <v>0</v>
      </c>
      <c r="E148" s="61">
        <v>88204</v>
      </c>
      <c r="F148" s="61">
        <v>358555</v>
      </c>
      <c r="G148" s="62">
        <f t="shared" si="6"/>
        <v>446759</v>
      </c>
      <c r="H148" s="61">
        <v>0</v>
      </c>
      <c r="I148" s="62">
        <f t="shared" si="7"/>
        <v>446759</v>
      </c>
      <c r="J148" s="129"/>
      <c r="K148" s="61">
        <v>0</v>
      </c>
      <c r="L148" s="61">
        <v>0</v>
      </c>
      <c r="M148" s="61">
        <v>0</v>
      </c>
      <c r="N148" s="62">
        <f t="shared" si="8"/>
        <v>446759</v>
      </c>
      <c r="O148" s="60"/>
      <c r="P148" s="60"/>
      <c r="S148" s="61">
        <v>0</v>
      </c>
      <c r="T148" s="61">
        <v>0</v>
      </c>
      <c r="U148" s="61">
        <v>0</v>
      </c>
      <c r="V148" s="61">
        <v>0</v>
      </c>
      <c r="AC148" s="63" t="e">
        <f>IF(AND(L148="",#REF!&lt;&gt;"*"),"",IF(AND(L148="",#REF!="*"),"Error 1.1",IF(ISNUMBER(L148)=FALSE,"Error 1.2",IF(L148&lt;0,"Error 1.3",""))))</f>
        <v>#REF!</v>
      </c>
      <c r="AD148" s="63" t="e">
        <f>IF(AND(M148="",#REF!&lt;&gt;"*"),"",IF(AND(M148="",#REF!="*"),"Error 1.1",IF(ISNUMBER(M148)=FALSE,"Error 1.2",IF(M148&lt;0,"Error 1.3",""))))</f>
        <v>#REF!</v>
      </c>
      <c r="AE148" s="63" t="e">
        <f>IF(AND(N148="",#REF!&lt;&gt;"*"),"",IF(AND(N148="",#REF!="*"),"Error 1.1",IF(ISNUMBER(N148)=FALSE,"Error 1.2",IF(N148&lt;0,"Error 1.3",""))))</f>
        <v>#REF!</v>
      </c>
      <c r="AF148" s="115"/>
      <c r="AJ148" s="63" t="e">
        <f>IF(AND(S148="",#REF!&lt;&gt;"*"),"",IF(AND(S148="",#REF!="*"),"Error 1.1",IF(ISNUMBER(S148)=FALSE,"Error 1.2",IF(S148&lt;0,"Error 1.3",IF(ABS(SUM(I148)-SUM(S148:V148))&gt;1000,"Error 3.1.3","")))))</f>
        <v>#REF!</v>
      </c>
      <c r="AK148" s="63" t="e">
        <f>IF(AND(T148="",#REF!&lt;&gt;"*"),"",IF(AND(T148="",#REF!="*"),"Error 1.1",IF(ISNUMBER(T148)=FALSE,"Error 1.2",IF(T148&lt;0,"Error 1.3",IF(ABS(SUM(I148)-SUM(S148:V148))&gt;1000,"Error 3.1.3","")))))</f>
        <v>#REF!</v>
      </c>
      <c r="AL148" s="63" t="e">
        <f>IF(AND(U148="",#REF!&lt;&gt;"*"),"",IF(AND(U148="",#REF!="*"),"Error 1.1",IF(ISNUMBER(U148)=FALSE,"Error 1.2",IF(U148&lt;0,"Error 1.3",IF(ABS(SUM(I148)-SUM(S148:V148))&gt;1000,"Error 3.1.3","")))))</f>
        <v>#REF!</v>
      </c>
      <c r="AM148" s="63" t="e">
        <f>IF(AND(V148="",#REF!&lt;&gt;"*"),"",IF(AND(V148="",#REF!="*"),"Error 1.1",IF(ISNUMBER(V148)=FALSE,"Error 1.2",IF(V148&lt;0,"Error 1.3",IF(ABS(SUM(I148)-SUM(S148:V148))&gt;1000,"Error 3.1.3","")))))</f>
        <v>#REF!</v>
      </c>
      <c r="AN148" s="23" t="e">
        <f>IF(LEN(TRIM(#REF!&amp;#REF!&amp;#REF!&amp;#REF!&amp;#REF!&amp;#REF!&amp;#REF!&amp;#REF!&amp;#REF!&amp;AC148&amp;AD148&amp;AE148&amp;AF148&amp;AG148&amp;AH148&amp;AI148&amp;AJ148&amp;AK148&amp;AL148&amp;AM148))&gt;0,1,0)</f>
        <v>#REF!</v>
      </c>
    </row>
    <row r="149" spans="1:40" s="2" customFormat="1" ht="12.75" customHeight="1">
      <c r="A149" s="85">
        <v>92</v>
      </c>
      <c r="B149" s="135" t="s">
        <v>166</v>
      </c>
      <c r="C149" s="90">
        <v>0</v>
      </c>
      <c r="D149" s="90">
        <v>0</v>
      </c>
      <c r="E149" s="90">
        <v>0</v>
      </c>
      <c r="F149" s="90">
        <v>0</v>
      </c>
      <c r="G149" s="92">
        <f t="shared" si="6"/>
        <v>0</v>
      </c>
      <c r="H149" s="90">
        <v>0</v>
      </c>
      <c r="I149" s="92">
        <f t="shared" si="7"/>
        <v>0</v>
      </c>
      <c r="J149" s="129"/>
      <c r="K149" s="90">
        <v>0</v>
      </c>
      <c r="L149" s="90">
        <v>0</v>
      </c>
      <c r="M149" s="90">
        <v>0</v>
      </c>
      <c r="N149" s="62">
        <f t="shared" si="8"/>
        <v>0</v>
      </c>
      <c r="O149" s="60"/>
      <c r="P149" s="60"/>
      <c r="S149" s="90">
        <v>0</v>
      </c>
      <c r="T149" s="90">
        <v>0</v>
      </c>
      <c r="U149" s="90">
        <v>0</v>
      </c>
      <c r="V149" s="90">
        <v>0</v>
      </c>
      <c r="AC149" s="136" t="e">
        <f>IF(AND(L149="",#REF!&lt;&gt;"*"),"",IF(AND(L149="",#REF!="*"),"Error 1.1",IF(ISNUMBER(L149)=FALSE,"Error 1.2",IF(L149&lt;0,"Error 1.3",""))))</f>
        <v>#REF!</v>
      </c>
      <c r="AD149" s="63" t="e">
        <f>IF(AND(M149="",#REF!&lt;&gt;"*"),"",IF(AND(M149="",#REF!="*"),"Error 1.1",IF(ISNUMBER(M149)=FALSE,"Error 1.2",IF(M149&lt;0,"Error 1.3",""))))</f>
        <v>#REF!</v>
      </c>
      <c r="AE149" s="63" t="e">
        <f>IF(AND(N149="",#REF!&lt;&gt;"*"),"",IF(AND(N149="",#REF!="*"),"Error 1.1",IF(ISNUMBER(N149)=FALSE,"Error 1.2",IF(N149&lt;0,"Error 1.3",""))))</f>
        <v>#REF!</v>
      </c>
      <c r="AF149" s="115"/>
      <c r="AJ149" s="136" t="e">
        <f>IF(AND(S149="",#REF!&lt;&gt;"*"),"",IF(AND(S149="",#REF!="*"),"Error 1.1",IF(ISNUMBER(S149)=FALSE,"Error 1.2",IF(S149&lt;0,"Error 1.3",IF(ABS(SUM(I149)-SUM(S149:V149))&gt;1000,"Error 3.1.4","")))))</f>
        <v>#REF!</v>
      </c>
      <c r="AK149" s="136" t="e">
        <f>IF(AND(T149="",#REF!&lt;&gt;"*"),"",IF(AND(T149="",#REF!="*"),"Error 1.1",IF(ISNUMBER(T149)=FALSE,"Error 1.2",IF(T149&lt;0,"Error 1.3",IF(ABS(SUM(I149)-SUM(S149:V149))&gt;1000,"Error 3.1.4","")))))</f>
        <v>#REF!</v>
      </c>
      <c r="AL149" s="136" t="e">
        <f>IF(AND(U149="",#REF!&lt;&gt;"*"),"",IF(AND(U149="",#REF!="*"),"Error 1.1",IF(ISNUMBER(U149)=FALSE,"Error 1.2",IF(U149&lt;0,"Error 1.3",IF(ABS(SUM(I149)-SUM(S149:V149))&gt;1000,"Error 3.1.4","")))))</f>
        <v>#REF!</v>
      </c>
      <c r="AM149" s="136" t="e">
        <f>IF(AND(V149="",#REF!&lt;&gt;"*"),"",IF(AND(V149="",#REF!="*"),"Error 1.1",IF(ISNUMBER(V149)=FALSE,"Error 1.2",IF(V149&lt;0,"Error 1.3",IF(ABS(SUM(I149)-SUM(S149:V149))&gt;1000,"Error 3.1.4","")))))</f>
        <v>#REF!</v>
      </c>
      <c r="AN149" s="23" t="e">
        <f>IF(LEN(TRIM(#REF!&amp;#REF!&amp;#REF!&amp;#REF!&amp;#REF!&amp;#REF!&amp;#REF!&amp;#REF!&amp;#REF!&amp;AC149&amp;AD149&amp;AE149&amp;AF149&amp;AG149&amp;AH149&amp;AI149&amp;AJ149&amp;AK149&amp;AL149&amp;AM149))&gt;0,1,0)</f>
        <v>#REF!</v>
      </c>
    </row>
    <row r="150" spans="1:40" s="2" customFormat="1" ht="12.75">
      <c r="A150" s="44">
        <v>93</v>
      </c>
      <c r="B150" s="64" t="s">
        <v>167</v>
      </c>
      <c r="C150" s="62">
        <f>SUM(C144:C149)</f>
        <v>1420985</v>
      </c>
      <c r="D150" s="62">
        <f>SUM(D144:D149)</f>
        <v>0</v>
      </c>
      <c r="E150" s="62">
        <f>SUM(E144:E149)</f>
        <v>8716489</v>
      </c>
      <c r="F150" s="62">
        <f>SUM(F144:F149)</f>
        <v>17453240</v>
      </c>
      <c r="G150" s="62">
        <f t="shared" si="6"/>
        <v>27590714</v>
      </c>
      <c r="H150" s="62">
        <f>SUM(H144:H149)</f>
        <v>5436920</v>
      </c>
      <c r="I150" s="62">
        <f t="shared" si="7"/>
        <v>22153794</v>
      </c>
      <c r="J150" s="129"/>
      <c r="K150" s="62">
        <f>SUM(K144:K149)</f>
        <v>7540161</v>
      </c>
      <c r="L150" s="62">
        <f>SUM(L144:L149)</f>
        <v>514816</v>
      </c>
      <c r="M150" s="62">
        <f>SUM(M144:M149)</f>
        <v>222710</v>
      </c>
      <c r="N150" s="62">
        <f t="shared" si="8"/>
        <v>13876107</v>
      </c>
      <c r="O150" s="60"/>
      <c r="P150" s="60"/>
      <c r="AC150" s="154" t="e">
        <f>IF(AND(L150="",#REF!&lt;&gt;"*"),"",IF(AND(L150="",#REF!="*"),"Error 1.1",IF(ISNUMBER(L150)=FALSE,"Error 1.2",IF(L150&lt;0,"Error 1.3",""))))</f>
        <v>#REF!</v>
      </c>
      <c r="AD150" s="76" t="e">
        <f>IF(AND(M150="",#REF!&lt;&gt;"*"),"",IF(AND(M150="",#REF!="*"),"Error 1.1",IF(ISNUMBER(M150)=FALSE,"Error 1.2",IF(M150&lt;0,"Error 1.3",""))))</f>
        <v>#REF!</v>
      </c>
      <c r="AE150" s="76" t="e">
        <f>IF(AND(N150="",#REF!&lt;&gt;"*"),"",IF(AND(N150="",#REF!="*"),"Error 1.1",IF(ISNUMBER(N150)=FALSE,"Error 1.2",IF(N150&lt;0,"Error 1.3",""))))</f>
        <v>#REF!</v>
      </c>
      <c r="AF150" s="115"/>
      <c r="AJ150" s="127"/>
      <c r="AK150" s="127"/>
      <c r="AL150" s="127"/>
      <c r="AM150" s="127"/>
      <c r="AN150" s="155" t="e">
        <f>IF(LEN(TRIM(#REF!&amp;#REF!&amp;#REF!&amp;#REF!&amp;#REF!&amp;#REF!&amp;#REF!&amp;#REF!&amp;#REF!&amp;AC150&amp;AD150&amp;AE150&amp;AF150&amp;AG150&amp;AH150&amp;AI150&amp;AJ150&amp;AK150&amp;AL150&amp;AM150))&gt;0,1,0)</f>
        <v>#REF!</v>
      </c>
    </row>
    <row r="151" spans="1:40" s="159" customFormat="1" ht="12.75">
      <c r="A151" s="156"/>
      <c r="B151" s="157"/>
      <c r="C151" s="158"/>
      <c r="D151" s="158"/>
      <c r="E151" s="158"/>
      <c r="F151" s="158"/>
      <c r="G151" s="158"/>
      <c r="H151" s="158"/>
      <c r="I151" s="158"/>
      <c r="J151" s="115"/>
      <c r="K151" s="158"/>
      <c r="L151" s="158"/>
      <c r="M151" s="158"/>
      <c r="N151" s="158"/>
      <c r="O151" s="115"/>
      <c r="P151" s="115"/>
      <c r="Q151" s="115"/>
      <c r="AC151" s="142"/>
      <c r="AD151" s="142"/>
      <c r="AE151" s="134"/>
      <c r="AF151" s="96"/>
      <c r="AG151" s="115"/>
      <c r="AH151" s="115"/>
      <c r="AI151" s="115"/>
      <c r="AJ151" s="115"/>
      <c r="AK151" s="143"/>
      <c r="AL151" s="143"/>
      <c r="AM151" s="143"/>
      <c r="AN151" s="142"/>
    </row>
    <row r="152" spans="1:40" s="2" customFormat="1" ht="12.75" customHeight="1">
      <c r="A152" s="85">
        <v>94</v>
      </c>
      <c r="B152" s="86" t="s">
        <v>168</v>
      </c>
      <c r="C152" s="92">
        <f>SUM(C140,C150)</f>
        <v>1502277</v>
      </c>
      <c r="D152" s="92">
        <f>SUM(D140,D150)</f>
        <v>0</v>
      </c>
      <c r="E152" s="92">
        <f>SUM(E140,E150)</f>
        <v>11057866</v>
      </c>
      <c r="F152" s="92">
        <f>SUM(F140,F150)</f>
        <v>22294213</v>
      </c>
      <c r="G152" s="92">
        <f>SUM(C152:F152)</f>
        <v>34854356</v>
      </c>
      <c r="H152" s="92">
        <f>SUM(H140,H150)</f>
        <v>7368010</v>
      </c>
      <c r="I152" s="92">
        <f>SUM(G152)-SUM(H152)</f>
        <v>27486346</v>
      </c>
      <c r="J152" s="160"/>
      <c r="K152" s="92">
        <f>SUM(K140,K150)</f>
        <v>7551888</v>
      </c>
      <c r="L152" s="92">
        <f>SUM(L140,L150)</f>
        <v>755503</v>
      </c>
      <c r="M152" s="92">
        <f>SUM(M140,M150)</f>
        <v>222710</v>
      </c>
      <c r="N152" s="62">
        <f>SUM(I152)-SUM(K152,L152,M152)</f>
        <v>18956245</v>
      </c>
      <c r="O152" s="60"/>
      <c r="P152" s="60"/>
      <c r="AC152" s="136" t="e">
        <f>IF(AND(L152="",#REF!&lt;&gt;"*"),"",IF(AND(L152="",#REF!="*"),"Error 1.1",IF(ISNUMBER(L152)=FALSE,"Error 1.2",IF(L152&lt;0,"Error 1.3",""))))</f>
        <v>#REF!</v>
      </c>
      <c r="AD152" s="63" t="e">
        <f>IF(AND(M152="",#REF!&lt;&gt;"*"),"",IF(AND(M152="",#REF!="*"),"Error 1.1",IF(ISNUMBER(M152)=FALSE,"Error 1.2",IF(M152&lt;0,"Error 1.3",""))))</f>
        <v>#REF!</v>
      </c>
      <c r="AE152" s="63" t="e">
        <f>IF(AND(N152="",#REF!&lt;&gt;"*"),"",IF(AND(N152="",#REF!="*"),"Error 1.1",IF(ISNUMBER(N152)=FALSE,"Error 1.2",IF(N152&lt;0,"Error 1.3",""))))</f>
        <v>#REF!</v>
      </c>
      <c r="AF152" s="115"/>
      <c r="AJ152" s="96"/>
      <c r="AK152" s="96"/>
      <c r="AL152" s="96"/>
      <c r="AM152" s="96"/>
      <c r="AN152" s="155" t="e">
        <f>IF(LEN(TRIM(#REF!&amp;#REF!&amp;#REF!&amp;#REF!&amp;#REF!&amp;#REF!&amp;#REF!&amp;#REF!&amp;#REF!&amp;AC152&amp;AD152&amp;AE152&amp;AF152&amp;AG152&amp;AH152&amp;AI152&amp;AJ152&amp;AK152&amp;AL152&amp;AM152))&gt;0,1,0)</f>
        <v>#REF!</v>
      </c>
    </row>
    <row r="153" spans="1:40" s="2" customFormat="1" ht="12.75">
      <c r="A153" s="44"/>
      <c r="B153" s="45"/>
      <c r="C153" s="161"/>
      <c r="D153" s="162"/>
      <c r="E153" s="162"/>
      <c r="F153" s="162"/>
      <c r="G153" s="162"/>
      <c r="H153" s="162"/>
      <c r="I153" s="163"/>
      <c r="J153" s="162"/>
      <c r="K153" s="162"/>
      <c r="L153" s="162"/>
      <c r="M153" s="162"/>
      <c r="N153" s="162"/>
      <c r="O153" s="60"/>
      <c r="P153" s="60"/>
      <c r="Q153" s="60"/>
      <c r="AC153" s="164"/>
      <c r="AD153" s="164"/>
      <c r="AE153" s="127"/>
      <c r="AF153" s="96"/>
      <c r="AG153" s="115"/>
      <c r="AH153" s="115"/>
      <c r="AI153" s="115"/>
      <c r="AJ153" s="115"/>
      <c r="AK153" s="96"/>
      <c r="AL153" s="96"/>
      <c r="AM153" s="96"/>
      <c r="AN153" s="127"/>
    </row>
    <row r="154" spans="1:40" s="2" customFormat="1" ht="12.75">
      <c r="A154" s="72" t="s">
        <v>169</v>
      </c>
      <c r="B154" s="72"/>
      <c r="C154" s="60"/>
      <c r="D154" s="60"/>
      <c r="E154" s="60"/>
      <c r="F154" s="60"/>
      <c r="G154" s="60"/>
      <c r="H154" s="60"/>
      <c r="I154" s="165"/>
      <c r="J154" s="60"/>
      <c r="K154" s="60"/>
      <c r="L154" s="60"/>
      <c r="M154" s="60"/>
      <c r="N154" s="60"/>
      <c r="O154" s="60"/>
      <c r="P154" s="60"/>
      <c r="Q154" s="60"/>
      <c r="AC154" s="143"/>
      <c r="AD154" s="143"/>
      <c r="AE154" s="96"/>
      <c r="AF154" s="96"/>
      <c r="AG154" s="115"/>
      <c r="AH154" s="115"/>
      <c r="AI154" s="115"/>
      <c r="AJ154" s="115"/>
      <c r="AK154" s="96"/>
      <c r="AL154" s="96"/>
      <c r="AM154" s="96"/>
      <c r="AN154" s="96"/>
    </row>
    <row r="155" spans="1:40" s="2" customFormat="1" ht="12.75" customHeight="1" hidden="1">
      <c r="A155" s="74"/>
      <c r="B155" s="74"/>
      <c r="C155" s="60"/>
      <c r="D155" s="60"/>
      <c r="E155" s="60"/>
      <c r="F155" s="60"/>
      <c r="G155" s="60"/>
      <c r="H155" s="60"/>
      <c r="I155" s="165">
        <f>SUM(G155)-SUM(H155)</f>
        <v>0</v>
      </c>
      <c r="J155" s="60"/>
      <c r="K155" s="60"/>
      <c r="L155" s="60"/>
      <c r="M155" s="60"/>
      <c r="N155" s="60"/>
      <c r="O155" s="60"/>
      <c r="P155" s="60"/>
      <c r="Q155" s="60"/>
      <c r="AC155" s="143"/>
      <c r="AD155" s="143"/>
      <c r="AE155" s="96"/>
      <c r="AF155" s="96"/>
      <c r="AG155" s="115"/>
      <c r="AH155" s="115"/>
      <c r="AI155" s="115"/>
      <c r="AJ155" s="115"/>
      <c r="AK155" s="96"/>
      <c r="AL155" s="96"/>
      <c r="AM155" s="96"/>
      <c r="AN155" s="96"/>
    </row>
    <row r="156" spans="1:40" s="2" customFormat="1" ht="12.75">
      <c r="A156" s="74"/>
      <c r="B156" s="166" t="s">
        <v>170</v>
      </c>
      <c r="C156" s="60"/>
      <c r="D156" s="60"/>
      <c r="E156" s="60"/>
      <c r="F156" s="60"/>
      <c r="G156" s="60"/>
      <c r="H156" s="60"/>
      <c r="I156" s="167"/>
      <c r="J156" s="60"/>
      <c r="K156" s="60"/>
      <c r="L156" s="60"/>
      <c r="M156" s="60"/>
      <c r="N156" s="60"/>
      <c r="O156" s="60"/>
      <c r="P156" s="60"/>
      <c r="Q156" s="60"/>
      <c r="AC156" s="168"/>
      <c r="AD156" s="168"/>
      <c r="AE156" s="128"/>
      <c r="AF156" s="96"/>
      <c r="AG156" s="115"/>
      <c r="AH156" s="115"/>
      <c r="AI156" s="115"/>
      <c r="AJ156" s="115"/>
      <c r="AK156" s="96"/>
      <c r="AL156" s="96"/>
      <c r="AM156" s="96"/>
      <c r="AN156" s="96"/>
    </row>
    <row r="157" spans="1:40" s="177" customFormat="1" ht="12.75" customHeight="1">
      <c r="A157" s="169">
        <v>95</v>
      </c>
      <c r="B157" s="170" t="s">
        <v>171</v>
      </c>
      <c r="C157" s="171"/>
      <c r="D157" s="172"/>
      <c r="E157" s="172"/>
      <c r="F157" s="172"/>
      <c r="G157" s="173">
        <v>426843</v>
      </c>
      <c r="H157" s="174">
        <v>0</v>
      </c>
      <c r="I157" s="175">
        <f>SUM(G157)-SUM(H157)</f>
        <v>426843</v>
      </c>
      <c r="J157" s="172"/>
      <c r="K157" s="174">
        <v>0</v>
      </c>
      <c r="L157" s="174">
        <v>105354</v>
      </c>
      <c r="M157" s="174">
        <v>0</v>
      </c>
      <c r="N157" s="176">
        <f>SUM(I157)-SUM(K157,L157,M157)</f>
        <v>321489</v>
      </c>
      <c r="O157" s="172"/>
      <c r="P157" s="172"/>
      <c r="Q157" s="115"/>
      <c r="R157" s="159"/>
      <c r="S157" s="159"/>
      <c r="T157" s="159"/>
      <c r="U157" s="159"/>
      <c r="AC157" s="178" t="e">
        <f>IF(AND(L157="",#REF!&lt;&gt;"*"),"",IF(AND(L157="",#REF!="*"),"Error 1.1",IF(ISNUMBER(L157)=FALSE,"Error 1.2",IF(L157&lt;0,"Error 1.3",""))))</f>
        <v>#REF!</v>
      </c>
      <c r="AD157" s="178" t="e">
        <f>IF(AND(M157="",#REF!&lt;&gt;"*"),"",IF(AND(M157="",#REF!="*"),"Error 1.1",IF(ISNUMBER(M157)=FALSE,"Error 1.2",IF(M157&lt;0,"Error 1.3",""))))</f>
        <v>#REF!</v>
      </c>
      <c r="AE157" s="178" t="e">
        <f>IF(AND(N157="",#REF!&lt;&gt;"*"),"",IF(AND(N157="",#REF!="*"),"Error 1.1",IF(ISNUMBER(N157)=FALSE,"Error 1.2",IF(N157&lt;0,"Error 1.3",""))))</f>
        <v>#REF!</v>
      </c>
      <c r="AF157" s="115"/>
      <c r="AG157" s="159"/>
      <c r="AH157" s="159"/>
      <c r="AI157" s="159"/>
      <c r="AJ157" s="96"/>
      <c r="AK157" s="96"/>
      <c r="AL157" s="96"/>
      <c r="AM157" s="96"/>
      <c r="AN157" s="179" t="e">
        <f>IF(LEN(TRIM(#REF!&amp;#REF!&amp;#REF!&amp;#REF!&amp;#REF!&amp;#REF!&amp;#REF!&amp;#REF!&amp;#REF!&amp;AC157&amp;AD157&amp;AE157&amp;AF157&amp;AG157&amp;AH157&amp;AI157&amp;AJ157&amp;AK157&amp;AL157&amp;AM157))&gt;0,1,0)</f>
        <v>#REF!</v>
      </c>
    </row>
    <row r="158" spans="1:40" s="177" customFormat="1" ht="12.75" customHeight="1">
      <c r="A158" s="169">
        <v>96</v>
      </c>
      <c r="B158" s="170" t="s">
        <v>172</v>
      </c>
      <c r="C158" s="171"/>
      <c r="D158" s="172"/>
      <c r="E158" s="172"/>
      <c r="F158" s="172"/>
      <c r="G158" s="173">
        <v>220160</v>
      </c>
      <c r="H158" s="174">
        <v>0</v>
      </c>
      <c r="I158" s="175">
        <f>SUM(G158)-SUM(H158)</f>
        <v>220160</v>
      </c>
      <c r="J158" s="172"/>
      <c r="K158" s="174">
        <f>232046-(232046-220160)</f>
        <v>220160</v>
      </c>
      <c r="L158" s="174">
        <v>0</v>
      </c>
      <c r="M158" s="174">
        <v>0</v>
      </c>
      <c r="N158" s="176">
        <f>SUM(I158)-SUM(K158,L158,M158)</f>
        <v>0</v>
      </c>
      <c r="O158" s="172"/>
      <c r="P158" s="172"/>
      <c r="Q158" s="115"/>
      <c r="R158" s="159"/>
      <c r="S158" s="159"/>
      <c r="T158" s="159"/>
      <c r="U158" s="159"/>
      <c r="AC158" s="136" t="e">
        <f>IF(AND(L158="",#REF!&lt;&gt;"*"),"",IF(AND(L158="",#REF!="*"),"Error 1.1",IF(ISNUMBER(L158)=FALSE,"Error 1.2",IF(L158&lt;0,"Error 1.3",""))))</f>
        <v>#REF!</v>
      </c>
      <c r="AD158" s="63" t="e">
        <f>IF(AND(M158="",#REF!&lt;&gt;"*"),"",IF(AND(M158="",#REF!="*"),"Error 1.1",IF(ISNUMBER(M158)=FALSE,"Error 1.2",IF(M158&lt;0,"Error 1.3",""))))</f>
        <v>#REF!</v>
      </c>
      <c r="AE158" s="63" t="e">
        <f>IF(AND(N158="",#REF!&lt;&gt;"*"),"",IF(AND(N158="",#REF!="*"),"Error 1.1",IF(ISNUMBER(N158)=FALSE,"Error 1.2",IF(N158&lt;0,"Error 1.3",""))))</f>
        <v>#REF!</v>
      </c>
      <c r="AF158" s="115"/>
      <c r="AG158" s="159"/>
      <c r="AH158" s="159"/>
      <c r="AI158" s="159"/>
      <c r="AJ158" s="96"/>
      <c r="AK158" s="96"/>
      <c r="AL158" s="96"/>
      <c r="AM158" s="96"/>
      <c r="AN158" s="179" t="e">
        <f>IF(LEN(TRIM(#REF!&amp;#REF!&amp;#REF!&amp;#REF!&amp;#REF!&amp;#REF!&amp;#REF!&amp;#REF!&amp;#REF!&amp;AC158&amp;AD158&amp;AE158&amp;AF158&amp;AG158&amp;AH158&amp;AI158&amp;AJ158&amp;AK158&amp;AL158&amp;AM158))&gt;0,1,0)</f>
        <v>#REF!</v>
      </c>
    </row>
    <row r="159" spans="1:40" s="177" customFormat="1" ht="12.75" customHeight="1">
      <c r="A159" s="169">
        <v>97</v>
      </c>
      <c r="B159" s="170" t="s">
        <v>173</v>
      </c>
      <c r="C159" s="171"/>
      <c r="D159" s="172"/>
      <c r="E159" s="172"/>
      <c r="F159" s="172"/>
      <c r="G159" s="173">
        <v>0</v>
      </c>
      <c r="H159" s="174">
        <v>0</v>
      </c>
      <c r="I159" s="175">
        <f>SUM(G159)-SUM(H159)</f>
        <v>0</v>
      </c>
      <c r="J159" s="172"/>
      <c r="K159" s="174">
        <v>0</v>
      </c>
      <c r="L159" s="174">
        <v>0</v>
      </c>
      <c r="M159" s="174">
        <v>0</v>
      </c>
      <c r="N159" s="176">
        <f>SUM(I159)-SUM(K159,L159,M159)</f>
        <v>0</v>
      </c>
      <c r="O159" s="172"/>
      <c r="P159" s="172"/>
      <c r="Q159" s="172"/>
      <c r="R159" s="159"/>
      <c r="S159" s="159"/>
      <c r="T159" s="159"/>
      <c r="U159" s="159"/>
      <c r="AC159" s="136" t="e">
        <f>IF(AND(L159="",#REF!&lt;&gt;"*"),"",IF(AND(L159="",#REF!="*"),"Error 1.1",IF(ISNUMBER(L159)=FALSE,"Error 1.2",IF(L159&lt;0,"Error 1.3",""))))</f>
        <v>#REF!</v>
      </c>
      <c r="AD159" s="63" t="e">
        <f>IF(AND(M159="",#REF!&lt;&gt;"*"),"",IF(AND(M159="",#REF!="*"),"Error 1.1",IF(ISNUMBER(M159)=FALSE,"Error 1.2",IF(M159&lt;0,"Error 1.3",""))))</f>
        <v>#REF!</v>
      </c>
      <c r="AE159" s="63" t="e">
        <f>IF(AND(N159="",#REF!&lt;&gt;"*"),"",IF(AND(N159="",#REF!="*"),"Error 1.1",IF(ISNUMBER(N159)=FALSE,"Error 1.2",IF(N159&lt;0,"Error 1.3",""))))</f>
        <v>#REF!</v>
      </c>
      <c r="AF159" s="115"/>
      <c r="AG159" s="159"/>
      <c r="AH159" s="159"/>
      <c r="AI159" s="159"/>
      <c r="AJ159" s="96"/>
      <c r="AK159" s="96"/>
      <c r="AL159" s="96"/>
      <c r="AM159" s="96"/>
      <c r="AN159" s="179" t="e">
        <f>IF(LEN(TRIM(#REF!&amp;#REF!&amp;#REF!&amp;#REF!&amp;#REF!&amp;#REF!&amp;#REF!&amp;#REF!&amp;#REF!&amp;AC159&amp;AD159&amp;AE159&amp;AF159&amp;AG159&amp;AH159&amp;AI159&amp;AJ159&amp;AK159&amp;AL159&amp;AM159))&gt;0,1,0)</f>
        <v>#REF!</v>
      </c>
    </row>
    <row r="160" spans="1:40" s="177" customFormat="1" ht="12.75" customHeight="1">
      <c r="A160" s="169">
        <v>98</v>
      </c>
      <c r="B160" s="170" t="s">
        <v>174</v>
      </c>
      <c r="C160" s="171"/>
      <c r="D160" s="172"/>
      <c r="E160" s="172"/>
      <c r="F160" s="172"/>
      <c r="G160" s="173">
        <v>3019557</v>
      </c>
      <c r="H160" s="174">
        <f>495290+25131+442009</f>
        <v>962430</v>
      </c>
      <c r="I160" s="175">
        <f>SUM(G160)-SUM(H160)</f>
        <v>2057127</v>
      </c>
      <c r="J160" s="172"/>
      <c r="K160" s="174">
        <v>0</v>
      </c>
      <c r="L160" s="174">
        <v>61240</v>
      </c>
      <c r="M160" s="174">
        <v>0</v>
      </c>
      <c r="N160" s="176">
        <f>SUM(I160)-SUM(K160,L160,M160)</f>
        <v>1995887</v>
      </c>
      <c r="O160" s="172"/>
      <c r="P160" s="172"/>
      <c r="Q160" s="172"/>
      <c r="R160" s="159"/>
      <c r="S160" s="159"/>
      <c r="T160" s="159"/>
      <c r="U160" s="159"/>
      <c r="AC160" s="136" t="e">
        <f>IF(AND(L160="",#REF!&lt;&gt;"*"),"",IF(AND(L160="",#REF!="*"),"Error 1.1",IF(ISNUMBER(L160)=FALSE,"Error 1.2",IF(L160&lt;0,"Error 1.3",""))))</f>
        <v>#REF!</v>
      </c>
      <c r="AD160" s="63" t="e">
        <f>IF(AND(M160="",#REF!&lt;&gt;"*"),"",IF(AND(M160="",#REF!="*"),"Error 1.1",IF(ISNUMBER(M160)=FALSE,"Error 1.2",IF(M160&lt;0,"Error 1.3",""))))</f>
        <v>#REF!</v>
      </c>
      <c r="AE160" s="63" t="e">
        <f>IF(AND(N160="",#REF!&lt;&gt;"*"),"",IF(AND(N160="",#REF!="*"),"Error 1.1",IF(ISNUMBER(N160)=FALSE,"Error 1.2",IF(N160&lt;0,"Error 1.3",""))))</f>
        <v>#REF!</v>
      </c>
      <c r="AF160" s="115"/>
      <c r="AG160" s="159"/>
      <c r="AH160" s="159"/>
      <c r="AI160" s="159"/>
      <c r="AJ160" s="96"/>
      <c r="AK160" s="96"/>
      <c r="AL160" s="96"/>
      <c r="AM160" s="96"/>
      <c r="AN160" s="179" t="e">
        <f>IF(LEN(TRIM(#REF!&amp;#REF!&amp;#REF!&amp;#REF!&amp;#REF!&amp;#REF!&amp;#REF!&amp;#REF!&amp;#REF!&amp;AC160&amp;AD160&amp;AE160&amp;AF160&amp;AG160&amp;AH160&amp;AI160&amp;AJ160&amp;AK160&amp;AL160&amp;AM160))&gt;0,1,0)</f>
        <v>#REF!</v>
      </c>
    </row>
    <row r="161" spans="1:40" s="172" customFormat="1" ht="12" customHeight="1">
      <c r="A161" s="180"/>
      <c r="B161" s="181"/>
      <c r="C161" s="171"/>
      <c r="G161" s="182"/>
      <c r="I161" s="183"/>
      <c r="S161" s="115"/>
      <c r="T161" s="115"/>
      <c r="U161" s="115"/>
      <c r="V161" s="115"/>
      <c r="X161" s="115"/>
      <c r="AC161" s="142"/>
      <c r="AD161" s="142"/>
      <c r="AE161" s="134"/>
      <c r="AF161" s="96"/>
      <c r="AG161" s="115"/>
      <c r="AH161" s="115"/>
      <c r="AI161" s="115"/>
      <c r="AJ161" s="115"/>
      <c r="AK161" s="96"/>
      <c r="AL161" s="96"/>
      <c r="AM161" s="96"/>
      <c r="AN161" s="96"/>
    </row>
    <row r="162" spans="1:40" s="177" customFormat="1" ht="12.75" customHeight="1">
      <c r="A162" s="169">
        <v>99</v>
      </c>
      <c r="B162" s="170" t="s">
        <v>175</v>
      </c>
      <c r="C162" s="184"/>
      <c r="D162" s="185"/>
      <c r="E162" s="185"/>
      <c r="F162" s="185"/>
      <c r="G162" s="173">
        <v>2740627</v>
      </c>
      <c r="H162" s="173">
        <v>45814</v>
      </c>
      <c r="I162" s="175">
        <f>SUM(G162)-SUM(H162)</f>
        <v>2694813</v>
      </c>
      <c r="J162" s="186"/>
      <c r="K162" s="174">
        <v>0</v>
      </c>
      <c r="L162" s="174">
        <v>0</v>
      </c>
      <c r="M162" s="174">
        <v>0</v>
      </c>
      <c r="N162" s="176">
        <f>SUM(I162)-SUM(K162,L162,M162)</f>
        <v>2694813</v>
      </c>
      <c r="O162" s="172"/>
      <c r="P162" s="172"/>
      <c r="Q162" s="172"/>
      <c r="R162" s="115"/>
      <c r="S162" s="115"/>
      <c r="T162" s="159"/>
      <c r="U162" s="159"/>
      <c r="V162" s="159"/>
      <c r="X162" s="159"/>
      <c r="Y162" s="187"/>
      <c r="Z162" s="188"/>
      <c r="AA162" s="188"/>
      <c r="AC162" s="136" t="e">
        <f>IF(AND(L162="",#REF!&lt;&gt;"*"),"",IF(AND(L162="",#REF!="*"),"Error 1.1",IF(ISNUMBER(L162)=FALSE,"Error 1.2",IF(L162&lt;0,"Error 1.3",""))))</f>
        <v>#REF!</v>
      </c>
      <c r="AD162" s="63" t="e">
        <f>IF(AND(M162="",#REF!&lt;&gt;"*"),"",IF(AND(M162="",#REF!="*"),"Error 1.1",IF(ISNUMBER(M162)=FALSE,"Error 1.2",IF(M162&lt;0,"Error 1.3",""))))</f>
        <v>#REF!</v>
      </c>
      <c r="AE162" s="63" t="e">
        <f>IF(AND(N162="",#REF!&lt;&gt;"*"),"",IF(AND(N162="",#REF!="*"),"Error 1.1",IF(ISNUMBER(N162)=FALSE,"Error 1.2",IF(N162&lt;0,"Error 1.3",""))))</f>
        <v>#REF!</v>
      </c>
      <c r="AF162" s="115"/>
      <c r="AG162" s="159"/>
      <c r="AH162" s="159"/>
      <c r="AI162" s="159"/>
      <c r="AJ162" s="96"/>
      <c r="AK162" s="96"/>
      <c r="AL162" s="96"/>
      <c r="AM162" s="96"/>
      <c r="AN162" s="179" t="e">
        <f>IF(LEN(TRIM(#REF!&amp;#REF!&amp;#REF!&amp;#REF!&amp;#REF!&amp;#REF!&amp;#REF!&amp;#REF!&amp;#REF!&amp;AC162&amp;AD162&amp;AE162&amp;AF162&amp;AG162&amp;AH162&amp;AI162&amp;AJ162&amp;AK162&amp;AL162&amp;AM162))&gt;0,1,0)</f>
        <v>#REF!</v>
      </c>
    </row>
    <row r="163" spans="1:40" s="177" customFormat="1" ht="12.75" customHeight="1">
      <c r="A163" s="169">
        <v>100</v>
      </c>
      <c r="B163" s="181" t="s">
        <v>176</v>
      </c>
      <c r="C163" s="174">
        <v>0</v>
      </c>
      <c r="D163" s="174">
        <v>0</v>
      </c>
      <c r="E163" s="174">
        <v>167964</v>
      </c>
      <c r="F163" s="174">
        <v>20636</v>
      </c>
      <c r="G163" s="189">
        <f>SUM(C163:F163)</f>
        <v>188600</v>
      </c>
      <c r="H163" s="174">
        <v>8042</v>
      </c>
      <c r="I163" s="175">
        <f>SUM(G163)-SUM(H163)</f>
        <v>180558</v>
      </c>
      <c r="J163" s="190"/>
      <c r="K163" s="174">
        <v>0</v>
      </c>
      <c r="L163" s="174">
        <v>12148</v>
      </c>
      <c r="M163" s="174">
        <v>0</v>
      </c>
      <c r="N163" s="176">
        <f>SUM(I163)-SUM(K163,L163,M163)</f>
        <v>168410</v>
      </c>
      <c r="O163" s="191"/>
      <c r="P163" s="191"/>
      <c r="Q163" s="191"/>
      <c r="R163" s="192"/>
      <c r="S163" s="192"/>
      <c r="T163" s="193"/>
      <c r="U163" s="193"/>
      <c r="V163" s="193"/>
      <c r="X163" s="194">
        <v>178104</v>
      </c>
      <c r="Y163" s="195">
        <v>-0.3</v>
      </c>
      <c r="Z163" s="195">
        <v>0.3</v>
      </c>
      <c r="AA163" s="196">
        <v>1000000</v>
      </c>
      <c r="AC163" s="136" t="e">
        <f>IF(AND(L163="",#REF!&lt;&gt;"*"),"",IF(AND(L163="",#REF!="*"),"Error 1.1",IF(ISNUMBER(L163)=FALSE,"Error 1.2",IF(L163&lt;0,"Error 1.3",""))))</f>
        <v>#REF!</v>
      </c>
      <c r="AD163" s="63" t="e">
        <f>IF(AND(M163="",#REF!&lt;&gt;"*"),"",IF(AND(M163="",#REF!="*"),"Error 1.1",IF(ISNUMBER(M163)=FALSE,"Error 1.2",IF(M163&lt;0,"Error 1.3",""))))</f>
        <v>#REF!</v>
      </c>
      <c r="AE163" s="63" t="e">
        <f>IF(AND(N163="",#REF!&lt;&gt;"*"),"",IF(AND(N163="",#REF!="*"),"Error 1.1",IF(ISNUMBER(N163)=FALSE,"Error 1.2",IF(N163&lt;0,"Error 1.3",""))))</f>
        <v>#REF!</v>
      </c>
      <c r="AF163" s="115"/>
      <c r="AG163" s="159"/>
      <c r="AH163" s="159"/>
      <c r="AI163" s="159"/>
      <c r="AJ163" s="96"/>
      <c r="AK163" s="96"/>
      <c r="AL163" s="96"/>
      <c r="AM163" s="96"/>
      <c r="AN163" s="179" t="e">
        <f>IF(LEN(TRIM(#REF!&amp;#REF!&amp;#REF!&amp;#REF!&amp;#REF!&amp;#REF!&amp;#REF!&amp;#REF!&amp;#REF!&amp;AC163&amp;AD163&amp;AE163&amp;AF163&amp;AG163&amp;AH163&amp;AI163&amp;AJ163&amp;AK163&amp;AL163&amp;AM163))&gt;0,1,0)</f>
        <v>#REF!</v>
      </c>
    </row>
    <row r="164" spans="1:40" s="177" customFormat="1" ht="12.75" customHeight="1">
      <c r="A164" s="169">
        <v>101</v>
      </c>
      <c r="B164" s="181" t="s">
        <v>177</v>
      </c>
      <c r="C164" s="174">
        <v>0</v>
      </c>
      <c r="D164" s="174">
        <v>0</v>
      </c>
      <c r="E164" s="174">
        <v>940</v>
      </c>
      <c r="F164" s="174">
        <v>2205</v>
      </c>
      <c r="G164" s="189">
        <f>SUM(C164:F164)</f>
        <v>3145</v>
      </c>
      <c r="H164" s="174">
        <v>0</v>
      </c>
      <c r="I164" s="175">
        <f>SUM(G164)-SUM(H164)</f>
        <v>3145</v>
      </c>
      <c r="J164" s="190"/>
      <c r="K164" s="174">
        <v>0</v>
      </c>
      <c r="L164" s="174">
        <v>0</v>
      </c>
      <c r="M164" s="174">
        <v>0</v>
      </c>
      <c r="N164" s="176">
        <f>SUM(I164)-SUM(K164,L164,M164)</f>
        <v>3145</v>
      </c>
      <c r="O164" s="191"/>
      <c r="P164" s="191"/>
      <c r="Q164" s="191"/>
      <c r="R164" s="193"/>
      <c r="S164" s="193"/>
      <c r="T164" s="193"/>
      <c r="U164" s="193"/>
      <c r="V164" s="193"/>
      <c r="X164" s="194">
        <v>0</v>
      </c>
      <c r="Y164" s="195">
        <v>-0.3</v>
      </c>
      <c r="Z164" s="195">
        <v>0.3</v>
      </c>
      <c r="AA164" s="196">
        <v>1000000</v>
      </c>
      <c r="AC164" s="136" t="e">
        <f>IF(AND(L164="",#REF!&lt;&gt;"*"),"",IF(AND(L164="",#REF!="*"),"Error 1.1",IF(ISNUMBER(L164)=FALSE,"Error 1.2",IF(L164&lt;0,"Error 1.3",""))))</f>
        <v>#REF!</v>
      </c>
      <c r="AD164" s="63" t="e">
        <f>IF(AND(M164="",#REF!&lt;&gt;"*"),"",IF(AND(M164="",#REF!="*"),"Error 1.1",IF(ISNUMBER(M164)=FALSE,"Error 1.2",IF(M164&lt;0,"Error 1.3",""))))</f>
        <v>#REF!</v>
      </c>
      <c r="AE164" s="63" t="e">
        <f>IF(AND(N164="",#REF!&lt;&gt;"*"),"",IF(AND(N164="",#REF!="*"),"Error 1.1",IF(ISNUMBER(N164)=FALSE,"Error 1.2",IF(N164&lt;0,"Error 1.3",""))))</f>
        <v>#REF!</v>
      </c>
      <c r="AF164" s="115"/>
      <c r="AG164" s="159"/>
      <c r="AH164" s="159"/>
      <c r="AI164" s="159"/>
      <c r="AJ164" s="96"/>
      <c r="AK164" s="96"/>
      <c r="AL164" s="96"/>
      <c r="AM164" s="96"/>
      <c r="AN164" s="179" t="e">
        <f>IF(LEN(TRIM(#REF!&amp;#REF!&amp;#REF!&amp;#REF!&amp;#REF!&amp;#REF!&amp;#REF!&amp;#REF!&amp;#REF!&amp;AC164&amp;AD164&amp;AE164&amp;AF164&amp;AG164&amp;AH164&amp;AI164&amp;AJ164&amp;AK164&amp;AL164&amp;AM164))&gt;0,1,0)</f>
        <v>#REF!</v>
      </c>
    </row>
    <row r="165" spans="1:40" s="177" customFormat="1" ht="12.75" customHeight="1">
      <c r="A165" s="169">
        <v>102</v>
      </c>
      <c r="B165" s="170" t="s">
        <v>178</v>
      </c>
      <c r="C165" s="174">
        <v>0</v>
      </c>
      <c r="D165" s="174">
        <v>0</v>
      </c>
      <c r="E165" s="174">
        <v>0</v>
      </c>
      <c r="F165" s="174">
        <v>0</v>
      </c>
      <c r="G165" s="189">
        <f>SUM(C165:F165)</f>
        <v>0</v>
      </c>
      <c r="H165" s="197">
        <v>0</v>
      </c>
      <c r="I165" s="175">
        <f>SUM(G165)-SUM(H165)</f>
        <v>0</v>
      </c>
      <c r="J165" s="190"/>
      <c r="K165" s="174">
        <v>0</v>
      </c>
      <c r="L165" s="174">
        <v>0</v>
      </c>
      <c r="M165" s="174">
        <v>0</v>
      </c>
      <c r="N165" s="176">
        <f>SUM(I165)-SUM(K165,L165,M165)</f>
        <v>0</v>
      </c>
      <c r="O165" s="191"/>
      <c r="P165" s="191"/>
      <c r="Q165" s="191"/>
      <c r="R165" s="193"/>
      <c r="S165" s="193"/>
      <c r="T165" s="193"/>
      <c r="U165" s="193"/>
      <c r="V165" s="193"/>
      <c r="X165" s="194">
        <v>0</v>
      </c>
      <c r="Y165" s="195">
        <v>-0.3</v>
      </c>
      <c r="Z165" s="195">
        <v>0.3</v>
      </c>
      <c r="AA165" s="196">
        <v>1000000</v>
      </c>
      <c r="AC165" s="136" t="e">
        <f>IF(AND(L165="",#REF!&lt;&gt;"*"),"",IF(AND(L165="",#REF!="*"),"Error 1.1",IF(ISNUMBER(L165)=FALSE,"Error 1.2",IF(L165&lt;0,"Error 1.3",""))))</f>
        <v>#REF!</v>
      </c>
      <c r="AD165" s="63" t="e">
        <f>IF(AND(M165="",#REF!&lt;&gt;"*"),"",IF(AND(M165="",#REF!="*"),"Error 1.1",IF(ISNUMBER(M165)=FALSE,"Error 1.2",IF(M165&lt;0,"Error 1.3",""))))</f>
        <v>#REF!</v>
      </c>
      <c r="AE165" s="63" t="e">
        <f>IF(AND(N165="",#REF!&lt;&gt;"*"),"",IF(AND(N165="",#REF!="*"),"Error 1.1",IF(ISNUMBER(N165)=FALSE,"Error 1.2",IF(N165&lt;0,"Error 1.3",""))))</f>
        <v>#REF!</v>
      </c>
      <c r="AF165" s="115"/>
      <c r="AG165" s="159"/>
      <c r="AH165" s="159"/>
      <c r="AI165" s="159"/>
      <c r="AJ165" s="96"/>
      <c r="AK165" s="96"/>
      <c r="AL165" s="96"/>
      <c r="AM165" s="96"/>
      <c r="AN165" s="179" t="e">
        <f>IF(LEN(TRIM(#REF!&amp;#REF!&amp;#REF!&amp;#REF!&amp;#REF!&amp;#REF!&amp;#REF!&amp;#REF!&amp;#REF!&amp;AC165&amp;AD165&amp;AE165&amp;AF165&amp;AG165&amp;AH165&amp;AI165&amp;AJ165&amp;AK165&amp;AL165&amp;AM165))&gt;0,1,0)</f>
        <v>#REF!</v>
      </c>
    </row>
    <row r="166" spans="1:40" s="177" customFormat="1" ht="12.75" customHeight="1">
      <c r="A166" s="169">
        <v>103</v>
      </c>
      <c r="B166" s="198" t="s">
        <v>179</v>
      </c>
      <c r="C166" s="176">
        <f>SUM(C157:C165)</f>
        <v>0</v>
      </c>
      <c r="D166" s="176">
        <f>SUM(D157:D165)</f>
        <v>0</v>
      </c>
      <c r="E166" s="176">
        <f>SUM(E157:E165)</f>
        <v>168904</v>
      </c>
      <c r="F166" s="176">
        <f>SUM(F157:F165)</f>
        <v>22841</v>
      </c>
      <c r="G166" s="189">
        <f>SUM(G157:G165)</f>
        <v>6598932</v>
      </c>
      <c r="H166" s="189">
        <f>SUM(H157:H165)</f>
        <v>1016286</v>
      </c>
      <c r="I166" s="175">
        <f>SUM(G166)-SUM(H166)</f>
        <v>5582646</v>
      </c>
      <c r="J166" s="190"/>
      <c r="K166" s="176">
        <f>SUM(K157:K165)</f>
        <v>220160</v>
      </c>
      <c r="L166" s="176">
        <f>SUM(L157:L165)</f>
        <v>178742</v>
      </c>
      <c r="M166" s="176">
        <f>SUM(M157:M165)</f>
        <v>0</v>
      </c>
      <c r="N166" s="176">
        <f>SUM(I166)-SUM(K166,L166,M166)</f>
        <v>5183744</v>
      </c>
      <c r="O166" s="199"/>
      <c r="P166" s="191"/>
      <c r="Q166" s="191"/>
      <c r="R166" s="192"/>
      <c r="S166" s="193"/>
      <c r="T166" s="193"/>
      <c r="U166" s="193"/>
      <c r="V166" s="193"/>
      <c r="X166" s="194">
        <v>5642034</v>
      </c>
      <c r="Y166" s="195">
        <v>0</v>
      </c>
      <c r="Z166" s="195">
        <v>1</v>
      </c>
      <c r="AA166" s="196">
        <v>1000000</v>
      </c>
      <c r="AC166" s="136" t="e">
        <f>IF(AND(L166="",#REF!&lt;&gt;"*"),"",IF(AND(L166="",#REF!="*"),"Error 1.1",IF(ISNUMBER(L166)=FALSE,"Error 1.2",IF(L166&lt;0,"Error 1.3",""))))</f>
        <v>#REF!</v>
      </c>
      <c r="AD166" s="63" t="e">
        <f>IF(AND(M166="",#REF!&lt;&gt;"*"),"",IF(AND(M166="",#REF!="*"),"Error 1.1",IF(ISNUMBER(M166)=FALSE,"Error 1.2",IF(M166&lt;0,"Error 1.3",""))))</f>
        <v>#REF!</v>
      </c>
      <c r="AE166" s="63" t="e">
        <f>IF(AND(N166="",#REF!&lt;&gt;"*"),"",IF(AND(N166="",#REF!="*"),"Error 1.1",IF(ISNUMBER(N166)=FALSE,"Error 1.2",IF(N166&lt;0,"Error 1.3",""))))</f>
        <v>#REF!</v>
      </c>
      <c r="AF166" s="115"/>
      <c r="AG166" s="159"/>
      <c r="AH166" s="159"/>
      <c r="AI166" s="159"/>
      <c r="AJ166" s="96"/>
      <c r="AK166" s="96"/>
      <c r="AL166" s="96"/>
      <c r="AM166" s="96"/>
      <c r="AN166" s="179" t="e">
        <f>IF(LEN(TRIM(#REF!&amp;#REF!&amp;#REF!&amp;#REF!&amp;#REF!&amp;#REF!&amp;#REF!&amp;#REF!&amp;#REF!&amp;AC166&amp;AD166&amp;AE166&amp;AF166&amp;AG166&amp;AH166&amp;AI166&amp;AJ166&amp;AK166&amp;AL166&amp;AM166))&gt;0,1,0)</f>
        <v>#REF!</v>
      </c>
    </row>
    <row r="167" spans="1:40" s="172" customFormat="1" ht="12.75" customHeight="1">
      <c r="A167" s="180"/>
      <c r="B167" s="181"/>
      <c r="C167" s="200"/>
      <c r="D167" s="191"/>
      <c r="E167" s="191"/>
      <c r="F167" s="191"/>
      <c r="G167" s="182"/>
      <c r="H167" s="191"/>
      <c r="I167" s="20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2"/>
      <c r="T167" s="192"/>
      <c r="U167" s="192"/>
      <c r="V167" s="192"/>
      <c r="X167" s="192"/>
      <c r="Y167" s="191"/>
      <c r="Z167" s="191"/>
      <c r="AA167" s="191"/>
      <c r="AC167" s="142"/>
      <c r="AD167" s="142"/>
      <c r="AE167" s="134"/>
      <c r="AF167" s="96"/>
      <c r="AG167" s="115"/>
      <c r="AH167" s="115"/>
      <c r="AI167" s="115"/>
      <c r="AJ167" s="115"/>
      <c r="AK167" s="96"/>
      <c r="AL167" s="96"/>
      <c r="AM167" s="96"/>
      <c r="AN167" s="96"/>
    </row>
    <row r="168" spans="1:40" s="177" customFormat="1" ht="12.75" customHeight="1">
      <c r="A168" s="169">
        <v>104</v>
      </c>
      <c r="B168" s="202" t="s">
        <v>180</v>
      </c>
      <c r="C168" s="176">
        <f aca="true" t="shared" si="9" ref="C168:H168">SUM(C152,C166)</f>
        <v>1502277</v>
      </c>
      <c r="D168" s="176">
        <f t="shared" si="9"/>
        <v>0</v>
      </c>
      <c r="E168" s="176">
        <f t="shared" si="9"/>
        <v>11226770</v>
      </c>
      <c r="F168" s="176">
        <f t="shared" si="9"/>
        <v>22317054</v>
      </c>
      <c r="G168" s="176">
        <f t="shared" si="9"/>
        <v>41453288</v>
      </c>
      <c r="H168" s="176">
        <f t="shared" si="9"/>
        <v>8384296</v>
      </c>
      <c r="I168" s="176">
        <f>SUM(G168)-SUM(H168)</f>
        <v>33068992</v>
      </c>
      <c r="J168" s="191"/>
      <c r="K168" s="189">
        <f>SUM(K152,K166)</f>
        <v>7772048</v>
      </c>
      <c r="L168" s="189">
        <f>SUM(L152,L166)</f>
        <v>934245</v>
      </c>
      <c r="M168" s="189">
        <f>SUM(M152,M166)</f>
        <v>222710</v>
      </c>
      <c r="N168" s="176">
        <f>SUM(I168)-SUM(K168,L168,M168)</f>
        <v>24139989</v>
      </c>
      <c r="P168" s="189">
        <f>SUM(P137,P139,P145)</f>
        <v>146094</v>
      </c>
      <c r="Q168" s="189">
        <f>SUM(Q137,Q139,Q145)</f>
        <v>115661</v>
      </c>
      <c r="R168" s="192"/>
      <c r="S168" s="193"/>
      <c r="T168" s="193"/>
      <c r="U168" s="193"/>
      <c r="V168" s="193"/>
      <c r="X168" s="199"/>
      <c r="Y168" s="199"/>
      <c r="Z168" s="199"/>
      <c r="AA168" s="199"/>
      <c r="AC168" s="136" t="e">
        <f>IF(AND(L168="",#REF!&lt;&gt;"*"),"",IF(AND(L168="",#REF!="*"),"Error 1.1",IF(ISNUMBER(L168)=FALSE,"Error 1.2",IF(L168&lt;0,"Error 1.3",""))))</f>
        <v>#REF!</v>
      </c>
      <c r="AD168" s="136" t="e">
        <f>IF(AND(M168="",#REF!&lt;&gt;"*"),"",IF(AND(M168="",#REF!="*"),"Error 1.1",IF(ISNUMBER(M168)=FALSE,"Error 1.2",IF(M168&lt;0,"Error 1.3",""))))</f>
        <v>#REF!</v>
      </c>
      <c r="AE168" s="136" t="e">
        <f>IF(AND(N168="",#REF!&lt;&gt;"*"),"",IF(AND(N168="",#REF!="*"),"Error 1.1",IF(ISNUMBER(N168)=FALSE,"Error 1.2",IF(N168&lt;0,"Error 1.3",""))))</f>
        <v>#REF!</v>
      </c>
      <c r="AF168" s="115"/>
      <c r="AG168" s="159"/>
      <c r="AH168" s="159"/>
      <c r="AI168" s="159"/>
      <c r="AJ168" s="96"/>
      <c r="AK168" s="96"/>
      <c r="AL168" s="96"/>
      <c r="AM168" s="96"/>
      <c r="AN168" s="179" t="e">
        <f>IF(LEN(TRIM(#REF!&amp;#REF!&amp;#REF!&amp;#REF!&amp;#REF!&amp;#REF!&amp;#REF!&amp;#REF!&amp;#REF!&amp;AC168&amp;AD168&amp;AE168&amp;AF168&amp;AG168&amp;AH168&amp;AI168&amp;AJ168&amp;AK168&amp;AL168&amp;AM168))&gt;0,1,0)</f>
        <v>#REF!</v>
      </c>
    </row>
    <row r="169" spans="1:40" s="172" customFormat="1" ht="12.75" customHeight="1">
      <c r="A169" s="180"/>
      <c r="B169" s="181"/>
      <c r="C169" s="203"/>
      <c r="D169" s="191"/>
      <c r="E169" s="204"/>
      <c r="F169" s="204"/>
      <c r="G169" s="182"/>
      <c r="H169" s="204"/>
      <c r="I169" s="201"/>
      <c r="J169" s="191"/>
      <c r="K169" s="203"/>
      <c r="L169" s="203"/>
      <c r="M169" s="203"/>
      <c r="N169" s="203"/>
      <c r="P169" s="191"/>
      <c r="Q169" s="203"/>
      <c r="S169" s="192"/>
      <c r="T169" s="192"/>
      <c r="U169" s="192"/>
      <c r="V169" s="192"/>
      <c r="X169" s="192"/>
      <c r="Y169" s="191"/>
      <c r="Z169" s="191"/>
      <c r="AA169" s="191"/>
      <c r="AC169" s="142"/>
      <c r="AD169" s="142"/>
      <c r="AE169" s="134"/>
      <c r="AF169" s="96"/>
      <c r="AG169" s="115"/>
      <c r="AH169" s="115"/>
      <c r="AI169" s="115"/>
      <c r="AJ169" s="115"/>
      <c r="AK169" s="96"/>
      <c r="AL169" s="96"/>
      <c r="AM169" s="96"/>
      <c r="AN169" s="96"/>
    </row>
    <row r="170" spans="1:40" s="177" customFormat="1" ht="22.5" customHeight="1">
      <c r="A170" s="169">
        <v>105</v>
      </c>
      <c r="B170" s="205" t="s">
        <v>181</v>
      </c>
      <c r="C170" s="189">
        <f aca="true" t="shared" si="10" ref="C170:H170">SUM(C113:C122)+C168</f>
        <v>4268802</v>
      </c>
      <c r="D170" s="189">
        <f t="shared" si="10"/>
        <v>89645</v>
      </c>
      <c r="E170" s="189">
        <f t="shared" si="10"/>
        <v>13910886</v>
      </c>
      <c r="F170" s="189">
        <f t="shared" si="10"/>
        <v>33874629</v>
      </c>
      <c r="G170" s="189">
        <f t="shared" si="10"/>
        <v>58551149</v>
      </c>
      <c r="H170" s="189">
        <f t="shared" si="10"/>
        <v>13458382</v>
      </c>
      <c r="I170" s="175">
        <f>SUM(G170)-SUM(H170)</f>
        <v>45092767</v>
      </c>
      <c r="J170" s="191"/>
      <c r="K170" s="189">
        <f>SUM(K113:K122)+K168</f>
        <v>7830048</v>
      </c>
      <c r="L170" s="189">
        <f>SUM(L113:L122)+L168</f>
        <v>934245</v>
      </c>
      <c r="M170" s="189">
        <f>SUM(M113:M122)+M168</f>
        <v>222710</v>
      </c>
      <c r="N170" s="176">
        <f>SUM(I170)-SUM(K170,L170,M170)</f>
        <v>36105764</v>
      </c>
      <c r="P170" s="189">
        <f>SUM(P124,P168)</f>
        <v>602874</v>
      </c>
      <c r="Q170" s="189">
        <f>SUM(Q124,Q168)</f>
        <v>115661</v>
      </c>
      <c r="R170" s="192"/>
      <c r="S170" s="193"/>
      <c r="T170" s="193"/>
      <c r="U170" s="193"/>
      <c r="V170" s="193"/>
      <c r="X170" s="199"/>
      <c r="Y170" s="199"/>
      <c r="Z170" s="199"/>
      <c r="AA170" s="199"/>
      <c r="AC170" s="136" t="e">
        <f>IF(AND(L170="",#REF!&lt;&gt;"*"),"",IF(AND(L170="",#REF!="*"),"Error 1.1",IF(ISNUMBER(L170)=FALSE,"Error 1.2",IF(L170&lt;0,"Error 1.3",""))))</f>
        <v>#REF!</v>
      </c>
      <c r="AD170" s="136" t="e">
        <f>IF(AND(M170="",#REF!&lt;&gt;"*"),"",IF(AND(M170="",#REF!="*"),"Error 1.1",IF(ISNUMBER(M170)=FALSE,"Error 1.2",IF(M170&lt;0,"Error 1.3",""))))</f>
        <v>#REF!</v>
      </c>
      <c r="AE170" s="136" t="e">
        <f>IF(AND(N170="",#REF!&lt;&gt;"*"),"",IF(AND(N170="",#REF!="*"),"Error 1.1",IF(ISNUMBER(N170)=FALSE,"Error 1.2",IF(N170&lt;0,"Error 1.3",""))))</f>
        <v>#REF!</v>
      </c>
      <c r="AF170" s="115"/>
      <c r="AG170" s="159"/>
      <c r="AH170" s="159"/>
      <c r="AI170" s="159"/>
      <c r="AJ170" s="96"/>
      <c r="AK170" s="96"/>
      <c r="AL170" s="96"/>
      <c r="AM170" s="96"/>
      <c r="AN170" s="179" t="e">
        <f>IF(LEN(TRIM(#REF!&amp;#REF!&amp;#REF!&amp;#REF!&amp;#REF!&amp;#REF!&amp;#REF!&amp;#REF!&amp;#REF!&amp;AC170&amp;AD170&amp;AE170&amp;AF170&amp;AG170&amp;AH170&amp;AI170&amp;AJ170&amp;AK170&amp;AL170&amp;AM170))&gt;0,1,0)</f>
        <v>#REF!</v>
      </c>
    </row>
    <row r="171" spans="1:41" s="177" customFormat="1" ht="12.75" customHeight="1">
      <c r="A171" s="169"/>
      <c r="B171" s="181"/>
      <c r="C171" s="206"/>
      <c r="D171" s="207"/>
      <c r="E171" s="207"/>
      <c r="F171" s="207"/>
      <c r="G171" s="182"/>
      <c r="H171" s="208"/>
      <c r="I171" s="183"/>
      <c r="J171" s="209"/>
      <c r="K171" s="210"/>
      <c r="L171" s="210"/>
      <c r="M171" s="211"/>
      <c r="N171" s="211"/>
      <c r="O171" s="212"/>
      <c r="P171" s="115"/>
      <c r="Q171" s="212"/>
      <c r="R171" s="212"/>
      <c r="S171" s="213"/>
      <c r="T171" s="159"/>
      <c r="U171" s="159"/>
      <c r="V171" s="159"/>
      <c r="X171" s="159"/>
      <c r="AC171" s="164"/>
      <c r="AD171" s="164"/>
      <c r="AE171" s="127"/>
      <c r="AF171" s="96"/>
      <c r="AG171" s="115"/>
      <c r="AH171" s="115"/>
      <c r="AI171" s="115"/>
      <c r="AJ171" s="115"/>
      <c r="AK171" s="96"/>
      <c r="AL171" s="96"/>
      <c r="AM171" s="96"/>
      <c r="AN171" s="96"/>
      <c r="AO171" s="172"/>
    </row>
    <row r="172" spans="1:41" s="177" customFormat="1" ht="12.75" customHeight="1">
      <c r="A172" s="169">
        <v>106</v>
      </c>
      <c r="B172" s="170" t="s">
        <v>182</v>
      </c>
      <c r="C172" s="171"/>
      <c r="D172" s="172"/>
      <c r="E172" s="172"/>
      <c r="F172" s="172"/>
      <c r="G172" s="173">
        <v>0</v>
      </c>
      <c r="H172" s="173">
        <v>0</v>
      </c>
      <c r="I172" s="175">
        <f>SUM(G172)-SUM(H172)</f>
        <v>0</v>
      </c>
      <c r="J172" s="186"/>
      <c r="K172" s="96"/>
      <c r="L172" s="96"/>
      <c r="M172" s="96"/>
      <c r="N172" s="96"/>
      <c r="O172" s="214"/>
      <c r="P172" s="159"/>
      <c r="Q172" s="159"/>
      <c r="R172" s="159"/>
      <c r="S172" s="159"/>
      <c r="T172" s="159"/>
      <c r="U172" s="159"/>
      <c r="V172" s="159"/>
      <c r="X172" s="159"/>
      <c r="AC172" s="143"/>
      <c r="AD172" s="143"/>
      <c r="AE172" s="96"/>
      <c r="AF172" s="96"/>
      <c r="AG172" s="115"/>
      <c r="AH172" s="115"/>
      <c r="AI172" s="115"/>
      <c r="AJ172" s="115"/>
      <c r="AK172" s="96"/>
      <c r="AL172" s="96"/>
      <c r="AM172" s="96"/>
      <c r="AN172" s="96"/>
      <c r="AO172" s="172"/>
    </row>
    <row r="173" spans="1:41" s="177" customFormat="1" ht="12.75" customHeight="1">
      <c r="A173" s="169">
        <v>107</v>
      </c>
      <c r="B173" s="170" t="s">
        <v>183</v>
      </c>
      <c r="C173" s="171"/>
      <c r="D173" s="172"/>
      <c r="E173" s="172"/>
      <c r="F173" s="172"/>
      <c r="G173" s="173">
        <v>0</v>
      </c>
      <c r="H173" s="173">
        <v>0</v>
      </c>
      <c r="I173" s="175">
        <f>SUM(G173)-SUM(H173)</f>
        <v>0</v>
      </c>
      <c r="J173" s="186"/>
      <c r="K173" s="96"/>
      <c r="L173" s="96"/>
      <c r="M173" s="96"/>
      <c r="N173" s="96"/>
      <c r="O173" s="214"/>
      <c r="P173" s="159"/>
      <c r="Q173" s="159"/>
      <c r="R173" s="159"/>
      <c r="S173" s="159"/>
      <c r="T173" s="159"/>
      <c r="U173" s="159"/>
      <c r="V173" s="159"/>
      <c r="X173" s="159"/>
      <c r="AC173" s="143"/>
      <c r="AD173" s="143"/>
      <c r="AE173" s="96"/>
      <c r="AF173" s="96"/>
      <c r="AG173" s="115"/>
      <c r="AH173" s="115"/>
      <c r="AI173" s="115"/>
      <c r="AJ173" s="115"/>
      <c r="AK173" s="96"/>
      <c r="AL173" s="96"/>
      <c r="AM173" s="96"/>
      <c r="AN173" s="96"/>
      <c r="AO173" s="172"/>
    </row>
    <row r="174" spans="1:40" s="172" customFormat="1" ht="12.75" customHeight="1">
      <c r="A174" s="180"/>
      <c r="B174" s="143"/>
      <c r="C174" s="96"/>
      <c r="D174" s="115"/>
      <c r="E174" s="115"/>
      <c r="F174" s="115"/>
      <c r="G174" s="215"/>
      <c r="H174" s="96"/>
      <c r="I174" s="183"/>
      <c r="J174" s="115"/>
      <c r="K174" s="96"/>
      <c r="L174" s="96"/>
      <c r="M174" s="96"/>
      <c r="N174" s="96"/>
      <c r="O174" s="115"/>
      <c r="P174" s="115"/>
      <c r="Q174" s="115"/>
      <c r="R174" s="115"/>
      <c r="S174" s="115"/>
      <c r="T174" s="115"/>
      <c r="U174" s="115"/>
      <c r="V174" s="115"/>
      <c r="X174" s="115"/>
      <c r="AC174" s="143"/>
      <c r="AD174" s="143"/>
      <c r="AE174" s="96"/>
      <c r="AF174" s="96"/>
      <c r="AG174" s="115"/>
      <c r="AH174" s="115"/>
      <c r="AI174" s="115"/>
      <c r="AJ174" s="115"/>
      <c r="AK174" s="96"/>
      <c r="AL174" s="96"/>
      <c r="AM174" s="96"/>
      <c r="AN174" s="96"/>
    </row>
    <row r="175" spans="1:41" s="177" customFormat="1" ht="12" customHeight="1">
      <c r="A175" s="169">
        <v>108</v>
      </c>
      <c r="B175" s="202" t="s">
        <v>184</v>
      </c>
      <c r="C175" s="171"/>
      <c r="D175" s="172"/>
      <c r="E175" s="172"/>
      <c r="F175" s="172"/>
      <c r="G175" s="189">
        <f>SUM(G168,G172,G173)</f>
        <v>41453288</v>
      </c>
      <c r="H175" s="189">
        <f>SUM(H168,H172,H173)</f>
        <v>8384296</v>
      </c>
      <c r="I175" s="175">
        <f>SUM(G175)-SUM(H175)</f>
        <v>33068992</v>
      </c>
      <c r="J175" s="209"/>
      <c r="K175" s="96"/>
      <c r="L175" s="96"/>
      <c r="M175" s="96"/>
      <c r="N175" s="96"/>
      <c r="O175" s="115"/>
      <c r="P175" s="115"/>
      <c r="Q175" s="115"/>
      <c r="R175" s="115"/>
      <c r="S175" s="115"/>
      <c r="T175" s="159"/>
      <c r="U175" s="159"/>
      <c r="V175" s="159"/>
      <c r="X175" s="159"/>
      <c r="AC175" s="143"/>
      <c r="AD175" s="143"/>
      <c r="AE175" s="96"/>
      <c r="AF175" s="96"/>
      <c r="AG175" s="115"/>
      <c r="AH175" s="115"/>
      <c r="AI175" s="115"/>
      <c r="AJ175" s="115"/>
      <c r="AK175" s="96"/>
      <c r="AL175" s="96"/>
      <c r="AM175" s="96"/>
      <c r="AN175" s="96"/>
      <c r="AO175" s="172"/>
    </row>
    <row r="176" spans="1:48" s="177" customFormat="1" ht="12.75" customHeight="1" thickBot="1">
      <c r="A176" s="169"/>
      <c r="B176" s="181"/>
      <c r="C176" s="206"/>
      <c r="D176" s="207"/>
      <c r="E176" s="207"/>
      <c r="F176" s="207"/>
      <c r="G176" s="182"/>
      <c r="H176" s="216"/>
      <c r="I176" s="163"/>
      <c r="J176" s="209"/>
      <c r="K176" s="210"/>
      <c r="L176" s="210"/>
      <c r="M176" s="211"/>
      <c r="N176" s="211"/>
      <c r="O176" s="212"/>
      <c r="P176" s="115"/>
      <c r="Q176" s="212"/>
      <c r="R176" s="212"/>
      <c r="S176" s="213"/>
      <c r="T176" s="159"/>
      <c r="U176" s="159"/>
      <c r="V176" s="159"/>
      <c r="X176" s="159"/>
      <c r="AC176" s="168"/>
      <c r="AD176" s="168"/>
      <c r="AE176" s="128"/>
      <c r="AF176" s="96"/>
      <c r="AG176" s="115"/>
      <c r="AH176" s="115"/>
      <c r="AI176" s="115"/>
      <c r="AJ176" s="115"/>
      <c r="AK176" s="96"/>
      <c r="AL176" s="96"/>
      <c r="AM176" s="96"/>
      <c r="AN176" s="96"/>
      <c r="AO176" s="172"/>
      <c r="AP176" s="172"/>
      <c r="AQ176" s="172"/>
      <c r="AR176" s="172"/>
      <c r="AS176" s="172"/>
      <c r="AT176" s="172"/>
      <c r="AU176" s="172"/>
      <c r="AV176" s="172"/>
    </row>
    <row r="177" spans="1:40" s="177" customFormat="1" ht="12.75" customHeight="1" thickBot="1" thickTop="1">
      <c r="A177" s="169">
        <v>109</v>
      </c>
      <c r="B177" s="217" t="s">
        <v>185</v>
      </c>
      <c r="C177" s="218">
        <f aca="true" t="shared" si="11" ref="C177:H177">SUM(C124,C168)</f>
        <v>112241801</v>
      </c>
      <c r="D177" s="218">
        <f t="shared" si="11"/>
        <v>31285481</v>
      </c>
      <c r="E177" s="218">
        <f t="shared" si="11"/>
        <v>36201136</v>
      </c>
      <c r="F177" s="218">
        <f t="shared" si="11"/>
        <v>80222168</v>
      </c>
      <c r="G177" s="218">
        <f t="shared" si="11"/>
        <v>266357773</v>
      </c>
      <c r="H177" s="218">
        <f t="shared" si="11"/>
        <v>25332631.78</v>
      </c>
      <c r="I177" s="219">
        <f>SUM(G177)-SUM(H177)</f>
        <v>241025141.22</v>
      </c>
      <c r="J177" s="220"/>
      <c r="K177" s="218">
        <f>SUM(K124,K168)</f>
        <v>29362738</v>
      </c>
      <c r="L177" s="218">
        <f>SUM(L124,L168)</f>
        <v>4804574</v>
      </c>
      <c r="M177" s="218">
        <f>SUM(M124,M168)</f>
        <v>17871866</v>
      </c>
      <c r="N177" s="218">
        <f>SUM(I177)-SUM(K177,L177,M177)</f>
        <v>188985963.22</v>
      </c>
      <c r="O177" s="159"/>
      <c r="P177" s="172"/>
      <c r="R177" s="221">
        <f>SUM(R106:R109)+SUM(R113:R116)</f>
        <v>8969270.33</v>
      </c>
      <c r="S177" s="159"/>
      <c r="T177" s="159"/>
      <c r="U177" s="159"/>
      <c r="AC177" s="136" t="e">
        <f>IF(AND(L177="",#REF!&lt;&gt;"*"),"",IF(AND(L177="",#REF!="*"),"Error 1.1",IF(ISNUMBER(L177)=FALSE,"Error 1.2",IF(L177&lt;0,"Error 1.3",""))))</f>
        <v>#REF!</v>
      </c>
      <c r="AD177" s="136" t="e">
        <f>IF(AND(M177="",#REF!&lt;&gt;"*"),"",IF(AND(M177="",#REF!="*"),"Error 1.1",IF(ISNUMBER(M177)=FALSE,"Error 1.2",IF(M177&lt;0,"Error 1.3",""))))</f>
        <v>#REF!</v>
      </c>
      <c r="AE177" s="136" t="e">
        <f>IF(AND(N177="",#REF!&lt;&gt;"*"),"",IF(AND(N177="",#REF!="*"),"Error 1.1",IF(ISNUMBER(N177)=FALSE,"Error 1.2",IF(N177&lt;0,"Error 1.3",""))))</f>
        <v>#REF!</v>
      </c>
      <c r="AF177" s="115"/>
      <c r="AG177" s="159"/>
      <c r="AH177" s="159"/>
      <c r="AI177" s="63" t="e">
        <f>IF(AND(R177="",#REF!&lt;&gt;"*"),"",IF(AND(R177="",#REF!="*"),"Error 1.1",IF(ISNUMBER(R177)=FALSE,"Error 1.2",IF(R177&lt;0,"Error 1.3",""))))</f>
        <v>#REF!</v>
      </c>
      <c r="AJ177" s="222"/>
      <c r="AK177" s="96"/>
      <c r="AL177" s="96"/>
      <c r="AM177" s="96"/>
      <c r="AN177" s="179" t="e">
        <f>IF(LEN(TRIM(#REF!&amp;#REF!&amp;#REF!&amp;#REF!&amp;#REF!&amp;#REF!&amp;#REF!&amp;#REF!&amp;#REF!&amp;AC177&amp;AD177&amp;AE177&amp;AF177&amp;AG177&amp;AH177&amp;AI177&amp;AK177&amp;AL177&amp;AM177))&gt;0,1,0)</f>
        <v>#REF!</v>
      </c>
    </row>
    <row r="178" spans="1:43" s="172" customFormat="1" ht="12.75" customHeight="1" thickBot="1" thickTop="1">
      <c r="A178" s="223"/>
      <c r="B178" s="143"/>
      <c r="C178" s="96"/>
      <c r="D178" s="115"/>
      <c r="E178" s="115"/>
      <c r="F178" s="115"/>
      <c r="G178" s="224"/>
      <c r="H178" s="225"/>
      <c r="I178" s="165"/>
      <c r="J178" s="115"/>
      <c r="K178" s="96"/>
      <c r="L178" s="96"/>
      <c r="M178" s="96"/>
      <c r="N178" s="96"/>
      <c r="O178" s="115"/>
      <c r="P178" s="115"/>
      <c r="Q178" s="115"/>
      <c r="R178" s="115"/>
      <c r="S178" s="115"/>
      <c r="T178" s="115"/>
      <c r="U178" s="115"/>
      <c r="V178" s="115"/>
      <c r="X178" s="115"/>
      <c r="Y178" s="115"/>
      <c r="Z178" s="115"/>
      <c r="AA178" s="115"/>
      <c r="AC178" s="142"/>
      <c r="AD178" s="142"/>
      <c r="AE178" s="134"/>
      <c r="AF178" s="96"/>
      <c r="AG178" s="115"/>
      <c r="AH178" s="115"/>
      <c r="AI178" s="115"/>
      <c r="AJ178" s="115"/>
      <c r="AK178" s="96"/>
      <c r="AL178" s="96"/>
      <c r="AM178" s="96"/>
      <c r="AN178" s="96"/>
      <c r="AO178" s="115"/>
      <c r="AP178" s="115"/>
      <c r="AQ178" s="115"/>
    </row>
    <row r="179" spans="1:40" s="177" customFormat="1" ht="12.75" customHeight="1" thickBot="1" thickTop="1">
      <c r="A179" s="169">
        <v>110</v>
      </c>
      <c r="B179" s="226" t="s">
        <v>186</v>
      </c>
      <c r="C179" s="227"/>
      <c r="D179" s="159"/>
      <c r="E179" s="159"/>
      <c r="F179" s="159"/>
      <c r="G179" s="218">
        <f>SUM(G130,G175)</f>
        <v>268935147.4</v>
      </c>
      <c r="H179" s="218">
        <f>SUM(H130,H175)</f>
        <v>25332631.78</v>
      </c>
      <c r="I179" s="219">
        <f>SUM(G179)-SUM(H179)</f>
        <v>243602515.61999997</v>
      </c>
      <c r="J179" s="228"/>
      <c r="K179" s="218">
        <f>SUM(K130,K168)</f>
        <v>30066208</v>
      </c>
      <c r="L179" s="218">
        <f>SUM(L130,L168)</f>
        <v>4804574</v>
      </c>
      <c r="M179" s="218">
        <f>SUM(M130,M168)</f>
        <v>17871866</v>
      </c>
      <c r="N179" s="218">
        <f>SUM(I179)-SUM(K179,L179,M179)</f>
        <v>190859867.61999997</v>
      </c>
      <c r="O179" s="159"/>
      <c r="P179" s="159"/>
      <c r="Q179" s="159"/>
      <c r="R179" s="159"/>
      <c r="S179" s="159"/>
      <c r="T179" s="159"/>
      <c r="U179" s="159"/>
      <c r="V179" s="159"/>
      <c r="X179" s="194">
        <v>229642330</v>
      </c>
      <c r="Y179" s="195">
        <v>0</v>
      </c>
      <c r="Z179" s="195">
        <v>0.15</v>
      </c>
      <c r="AA179" s="229">
        <v>1000000</v>
      </c>
      <c r="AC179" s="136" t="e">
        <f>IF(AND(L179="",#REF!&lt;&gt;"*"),"",IF(AND(L179="",#REF!="*"),"Error 1.1",IF(ISNUMBER(L179)=FALSE,"Error 1.2",IF(L179&lt;0,"Error 1.3",""))))</f>
        <v>#REF!</v>
      </c>
      <c r="AD179" s="136" t="e">
        <f>IF(AND(M179="",#REF!&lt;&gt;"*"),"",IF(AND(M179="",#REF!="*"),"Error 1.1",IF(ISNUMBER(M179)=FALSE,"Error 1.2",IF(M179&lt;0,"Error 1.3",""))))</f>
        <v>#REF!</v>
      </c>
      <c r="AE179" s="136" t="e">
        <f>IF(AND(N179="",#REF!&lt;&gt;"*"),"",IF(AND(N179="",#REF!="*"),"Error 1.1",IF(ISNUMBER(N179)=FALSE,"Error 1.2",IF(N179&lt;0,"Error 1.3",""))))</f>
        <v>#REF!</v>
      </c>
      <c r="AF179" s="115"/>
      <c r="AG179" s="159"/>
      <c r="AH179" s="159"/>
      <c r="AI179" s="159"/>
      <c r="AJ179" s="96"/>
      <c r="AK179" s="96"/>
      <c r="AL179" s="96"/>
      <c r="AM179" s="96"/>
      <c r="AN179" s="179" t="e">
        <f>IF(LEN(TRIM(#REF!&amp;#REF!&amp;#REF!&amp;#REF!&amp;#REF!&amp;#REF!&amp;#REF!&amp;#REF!&amp;#REF!&amp;AC179&amp;AD179&amp;AE179&amp;AF179&amp;AG179&amp;AH179&amp;AI179&amp;AJ179&amp;AK179&amp;AL179&amp;AM179))&gt;0,1,0)</f>
        <v>#REF!</v>
      </c>
    </row>
    <row r="180" spans="15:41" s="2" customFormat="1" ht="12.75" customHeight="1" thickTop="1">
      <c r="O180" s="60"/>
      <c r="AG180" s="115"/>
      <c r="AK180" s="60"/>
      <c r="AL180" s="60"/>
      <c r="AM180" s="60"/>
      <c r="AN180" s="60"/>
      <c r="AO180" s="3"/>
    </row>
    <row r="181" spans="1:53" s="2" customFormat="1" ht="12.75">
      <c r="A181" s="230" t="s">
        <v>187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231"/>
      <c r="L181" s="232"/>
      <c r="O181" s="60"/>
      <c r="AG181" s="115"/>
      <c r="AO181" s="3"/>
      <c r="AQ181" s="230" t="s">
        <v>188</v>
      </c>
      <c r="AR181" s="56"/>
      <c r="AS181" s="56"/>
      <c r="AT181" s="56"/>
      <c r="AU181" s="56"/>
      <c r="AV181" s="56"/>
      <c r="AW181" s="56"/>
      <c r="AX181" s="56"/>
      <c r="AY181" s="56"/>
      <c r="AZ181" s="56"/>
      <c r="BA181" s="231"/>
    </row>
    <row r="182" spans="1:53" s="2" customFormat="1" ht="12.75">
      <c r="A182" s="233" t="s">
        <v>189</v>
      </c>
      <c r="B182" s="234"/>
      <c r="C182" s="234"/>
      <c r="D182" s="234"/>
      <c r="E182" s="234"/>
      <c r="F182" s="234"/>
      <c r="G182" s="234"/>
      <c r="H182" s="234"/>
      <c r="I182" s="234"/>
      <c r="J182" s="234"/>
      <c r="K182" s="235"/>
      <c r="L182" s="232"/>
      <c r="O182" s="60"/>
      <c r="AG182" s="115"/>
      <c r="AO182" s="45"/>
      <c r="AQ182" s="233" t="s">
        <v>190</v>
      </c>
      <c r="AR182" s="234"/>
      <c r="AS182" s="234"/>
      <c r="AT182" s="234"/>
      <c r="AU182" s="234"/>
      <c r="AV182" s="234"/>
      <c r="AW182" s="234"/>
      <c r="AX182" s="234"/>
      <c r="AY182" s="234"/>
      <c r="AZ182" s="234"/>
      <c r="BA182" s="235"/>
    </row>
    <row r="183" spans="1:53" s="2" customFormat="1" ht="12.75">
      <c r="A183" s="236"/>
      <c r="B183" s="237"/>
      <c r="C183" s="237"/>
      <c r="D183" s="237"/>
      <c r="E183" s="237"/>
      <c r="F183" s="237"/>
      <c r="G183" s="237"/>
      <c r="H183" s="237"/>
      <c r="I183" s="237"/>
      <c r="J183" s="237"/>
      <c r="K183" s="238"/>
      <c r="L183" s="239"/>
      <c r="O183" s="60"/>
      <c r="AG183" s="115"/>
      <c r="AO183" s="45"/>
      <c r="AQ183" s="240"/>
      <c r="AR183" s="241"/>
      <c r="AS183" s="241"/>
      <c r="AT183" s="241"/>
      <c r="AU183" s="241"/>
      <c r="AV183" s="241"/>
      <c r="AW183" s="241"/>
      <c r="AX183" s="241"/>
      <c r="AY183" s="241"/>
      <c r="AZ183" s="241"/>
      <c r="BA183" s="242"/>
    </row>
    <row r="184" spans="1:53" s="2" customFormat="1" ht="12.75">
      <c r="A184" s="243"/>
      <c r="B184" s="244"/>
      <c r="C184" s="244"/>
      <c r="D184" s="244"/>
      <c r="E184" s="244"/>
      <c r="F184" s="244"/>
      <c r="G184" s="244"/>
      <c r="H184" s="244"/>
      <c r="I184" s="244"/>
      <c r="J184" s="244"/>
      <c r="K184" s="245"/>
      <c r="L184" s="239"/>
      <c r="O184" s="60"/>
      <c r="AG184" s="115"/>
      <c r="AO184" s="45"/>
      <c r="AQ184" s="246"/>
      <c r="AR184" s="241"/>
      <c r="AS184" s="241"/>
      <c r="AT184" s="241"/>
      <c r="AU184" s="241"/>
      <c r="AV184" s="241"/>
      <c r="AW184" s="241"/>
      <c r="AX184" s="241"/>
      <c r="AY184" s="241"/>
      <c r="AZ184" s="241"/>
      <c r="BA184" s="247"/>
    </row>
    <row r="185" spans="1:53" s="2" customFormat="1" ht="12.75">
      <c r="A185" s="243"/>
      <c r="B185" s="244"/>
      <c r="C185" s="244"/>
      <c r="D185" s="244"/>
      <c r="E185" s="244"/>
      <c r="F185" s="244"/>
      <c r="G185" s="244"/>
      <c r="H185" s="244"/>
      <c r="I185" s="244"/>
      <c r="J185" s="244"/>
      <c r="K185" s="245"/>
      <c r="L185" s="239"/>
      <c r="O185" s="60"/>
      <c r="AO185" s="45"/>
      <c r="AQ185" s="246"/>
      <c r="AR185" s="241"/>
      <c r="AS185" s="241"/>
      <c r="AT185" s="241"/>
      <c r="AU185" s="241"/>
      <c r="AV185" s="241"/>
      <c r="AW185" s="241"/>
      <c r="AX185" s="241"/>
      <c r="AY185" s="241"/>
      <c r="AZ185" s="241"/>
      <c r="BA185" s="247"/>
    </row>
    <row r="186" spans="1:53" s="2" customFormat="1" ht="12.75">
      <c r="A186" s="243"/>
      <c r="B186" s="244"/>
      <c r="C186" s="244"/>
      <c r="D186" s="244"/>
      <c r="E186" s="244"/>
      <c r="F186" s="244"/>
      <c r="G186" s="244"/>
      <c r="H186" s="244"/>
      <c r="I186" s="244"/>
      <c r="J186" s="244"/>
      <c r="K186" s="245"/>
      <c r="L186" s="239"/>
      <c r="O186" s="60"/>
      <c r="AO186" s="45"/>
      <c r="AQ186" s="246"/>
      <c r="AR186" s="241"/>
      <c r="AS186" s="241"/>
      <c r="AT186" s="241"/>
      <c r="AU186" s="241"/>
      <c r="AV186" s="241"/>
      <c r="AW186" s="241"/>
      <c r="AX186" s="241"/>
      <c r="AY186" s="241"/>
      <c r="AZ186" s="241"/>
      <c r="BA186" s="247"/>
    </row>
    <row r="187" spans="1:53" s="2" customFormat="1" ht="12.75">
      <c r="A187" s="243"/>
      <c r="B187" s="244"/>
      <c r="C187" s="244"/>
      <c r="D187" s="244"/>
      <c r="E187" s="244"/>
      <c r="F187" s="244"/>
      <c r="G187" s="244"/>
      <c r="H187" s="244"/>
      <c r="I187" s="244"/>
      <c r="J187" s="244"/>
      <c r="K187" s="245"/>
      <c r="L187" s="239"/>
      <c r="O187" s="60"/>
      <c r="AO187" s="45"/>
      <c r="AQ187" s="246"/>
      <c r="AR187" s="241"/>
      <c r="AS187" s="241"/>
      <c r="AT187" s="241"/>
      <c r="AU187" s="241"/>
      <c r="AV187" s="241"/>
      <c r="AW187" s="241"/>
      <c r="AX187" s="241"/>
      <c r="AY187" s="241"/>
      <c r="AZ187" s="241"/>
      <c r="BA187" s="247"/>
    </row>
    <row r="188" spans="1:53" s="2" customFormat="1" ht="12.75">
      <c r="A188" s="243"/>
      <c r="B188" s="244"/>
      <c r="C188" s="244"/>
      <c r="D188" s="244"/>
      <c r="E188" s="244"/>
      <c r="F188" s="244"/>
      <c r="G188" s="244"/>
      <c r="H188" s="244"/>
      <c r="I188" s="244"/>
      <c r="J188" s="244"/>
      <c r="K188" s="245"/>
      <c r="L188" s="239"/>
      <c r="O188" s="60"/>
      <c r="AO188" s="45"/>
      <c r="AQ188" s="246"/>
      <c r="AR188" s="241"/>
      <c r="AS188" s="241"/>
      <c r="AT188" s="241"/>
      <c r="AU188" s="241"/>
      <c r="AV188" s="241"/>
      <c r="AW188" s="241"/>
      <c r="AX188" s="241"/>
      <c r="AY188" s="241"/>
      <c r="AZ188" s="241"/>
      <c r="BA188" s="247"/>
    </row>
    <row r="189" spans="1:53" s="2" customFormat="1" ht="12.75">
      <c r="A189" s="243"/>
      <c r="B189" s="244"/>
      <c r="C189" s="244"/>
      <c r="D189" s="244"/>
      <c r="E189" s="244"/>
      <c r="F189" s="244"/>
      <c r="G189" s="244"/>
      <c r="H189" s="244"/>
      <c r="I189" s="244"/>
      <c r="J189" s="244"/>
      <c r="K189" s="245"/>
      <c r="L189" s="239"/>
      <c r="O189" s="60"/>
      <c r="AO189" s="45"/>
      <c r="AQ189" s="246"/>
      <c r="AR189" s="241"/>
      <c r="AS189" s="241"/>
      <c r="AT189" s="241"/>
      <c r="AU189" s="241"/>
      <c r="AV189" s="241"/>
      <c r="AW189" s="241"/>
      <c r="AX189" s="241"/>
      <c r="AY189" s="241"/>
      <c r="AZ189" s="241"/>
      <c r="BA189" s="247"/>
    </row>
    <row r="190" spans="1:53" s="2" customFormat="1" ht="12.75">
      <c r="A190" s="243"/>
      <c r="B190" s="244"/>
      <c r="C190" s="244"/>
      <c r="D190" s="244"/>
      <c r="E190" s="244"/>
      <c r="F190" s="244"/>
      <c r="G190" s="244"/>
      <c r="H190" s="244"/>
      <c r="I190" s="244"/>
      <c r="J190" s="244"/>
      <c r="K190" s="245"/>
      <c r="L190" s="239"/>
      <c r="O190" s="60"/>
      <c r="AO190" s="45"/>
      <c r="AQ190" s="246"/>
      <c r="AR190" s="241"/>
      <c r="AS190" s="241"/>
      <c r="AT190" s="241"/>
      <c r="AU190" s="241"/>
      <c r="AV190" s="241"/>
      <c r="AW190" s="241"/>
      <c r="AX190" s="241"/>
      <c r="AY190" s="241"/>
      <c r="AZ190" s="241"/>
      <c r="BA190" s="247"/>
    </row>
    <row r="191" spans="1:53" s="2" customFormat="1" ht="12.75">
      <c r="A191" s="243"/>
      <c r="B191" s="244"/>
      <c r="C191" s="244"/>
      <c r="D191" s="244"/>
      <c r="E191" s="244"/>
      <c r="F191" s="244"/>
      <c r="G191" s="244"/>
      <c r="H191" s="244"/>
      <c r="I191" s="244"/>
      <c r="J191" s="244"/>
      <c r="K191" s="245"/>
      <c r="L191" s="239"/>
      <c r="O191" s="60"/>
      <c r="AO191" s="45"/>
      <c r="AQ191" s="246"/>
      <c r="AR191" s="241"/>
      <c r="AS191" s="241"/>
      <c r="AT191" s="241"/>
      <c r="AU191" s="241"/>
      <c r="AV191" s="241"/>
      <c r="AW191" s="241"/>
      <c r="AX191" s="241"/>
      <c r="AY191" s="241"/>
      <c r="AZ191" s="241"/>
      <c r="BA191" s="247"/>
    </row>
    <row r="192" spans="1:53" s="2" customFormat="1" ht="12.75">
      <c r="A192" s="243"/>
      <c r="B192" s="244"/>
      <c r="C192" s="244"/>
      <c r="D192" s="244"/>
      <c r="E192" s="244"/>
      <c r="F192" s="244"/>
      <c r="G192" s="244"/>
      <c r="H192" s="244"/>
      <c r="I192" s="244"/>
      <c r="J192" s="244"/>
      <c r="K192" s="245"/>
      <c r="L192" s="239"/>
      <c r="O192" s="60"/>
      <c r="AO192" s="45"/>
      <c r="AQ192" s="246"/>
      <c r="AR192" s="241"/>
      <c r="AS192" s="241"/>
      <c r="AT192" s="241"/>
      <c r="AU192" s="241"/>
      <c r="AV192" s="241"/>
      <c r="AW192" s="241"/>
      <c r="AX192" s="241"/>
      <c r="AY192" s="241"/>
      <c r="AZ192" s="241"/>
      <c r="BA192" s="247"/>
    </row>
    <row r="193" spans="1:53" s="2" customFormat="1" ht="12.75">
      <c r="A193" s="243"/>
      <c r="B193" s="244"/>
      <c r="C193" s="244"/>
      <c r="D193" s="244"/>
      <c r="E193" s="244"/>
      <c r="F193" s="244"/>
      <c r="G193" s="244"/>
      <c r="H193" s="244"/>
      <c r="I193" s="244"/>
      <c r="J193" s="244"/>
      <c r="K193" s="245"/>
      <c r="L193" s="239"/>
      <c r="O193" s="60"/>
      <c r="AO193" s="45"/>
      <c r="AQ193" s="246"/>
      <c r="AR193" s="241"/>
      <c r="AS193" s="241"/>
      <c r="AT193" s="241"/>
      <c r="AU193" s="241"/>
      <c r="AV193" s="241"/>
      <c r="AW193" s="241"/>
      <c r="AX193" s="241"/>
      <c r="AY193" s="241"/>
      <c r="AZ193" s="241"/>
      <c r="BA193" s="247"/>
    </row>
    <row r="194" spans="1:53" s="2" customFormat="1" ht="12.75">
      <c r="A194" s="243"/>
      <c r="B194" s="244"/>
      <c r="C194" s="244"/>
      <c r="D194" s="244"/>
      <c r="E194" s="244"/>
      <c r="F194" s="244"/>
      <c r="G194" s="244"/>
      <c r="H194" s="244"/>
      <c r="I194" s="244"/>
      <c r="J194" s="244"/>
      <c r="K194" s="245"/>
      <c r="L194" s="239"/>
      <c r="AO194" s="45"/>
      <c r="AQ194" s="246"/>
      <c r="AR194" s="241"/>
      <c r="AS194" s="241"/>
      <c r="AT194" s="241"/>
      <c r="AU194" s="241"/>
      <c r="AV194" s="241"/>
      <c r="AW194" s="241"/>
      <c r="AX194" s="241"/>
      <c r="AY194" s="241"/>
      <c r="AZ194" s="241"/>
      <c r="BA194" s="247"/>
    </row>
    <row r="195" spans="1:53" s="2" customFormat="1" ht="12.75">
      <c r="A195" s="243"/>
      <c r="B195" s="244"/>
      <c r="C195" s="244"/>
      <c r="D195" s="244"/>
      <c r="E195" s="244"/>
      <c r="F195" s="244"/>
      <c r="G195" s="244"/>
      <c r="H195" s="244"/>
      <c r="I195" s="244"/>
      <c r="J195" s="244"/>
      <c r="K195" s="245"/>
      <c r="L195" s="239"/>
      <c r="AO195" s="45"/>
      <c r="AQ195" s="246"/>
      <c r="AR195" s="241"/>
      <c r="AS195" s="241"/>
      <c r="AT195" s="241"/>
      <c r="AU195" s="241"/>
      <c r="AV195" s="241"/>
      <c r="AW195" s="241"/>
      <c r="AX195" s="241"/>
      <c r="AY195" s="241"/>
      <c r="AZ195" s="241"/>
      <c r="BA195" s="247"/>
    </row>
    <row r="196" spans="1:53" s="2" customFormat="1" ht="12.75">
      <c r="A196" s="243"/>
      <c r="B196" s="244"/>
      <c r="C196" s="244"/>
      <c r="D196" s="244"/>
      <c r="E196" s="244"/>
      <c r="F196" s="244"/>
      <c r="G196" s="244"/>
      <c r="H196" s="244"/>
      <c r="I196" s="244"/>
      <c r="J196" s="244"/>
      <c r="K196" s="245"/>
      <c r="L196" s="239"/>
      <c r="AO196" s="45"/>
      <c r="AQ196" s="246"/>
      <c r="AR196" s="241"/>
      <c r="AS196" s="241"/>
      <c r="AT196" s="241"/>
      <c r="AU196" s="241"/>
      <c r="AV196" s="241"/>
      <c r="AW196" s="241"/>
      <c r="AX196" s="241"/>
      <c r="AY196" s="241"/>
      <c r="AZ196" s="241"/>
      <c r="BA196" s="247"/>
    </row>
    <row r="197" spans="1:53" s="2" customFormat="1" ht="12.75">
      <c r="A197" s="243"/>
      <c r="B197" s="244"/>
      <c r="C197" s="244"/>
      <c r="D197" s="244"/>
      <c r="E197" s="244"/>
      <c r="F197" s="244"/>
      <c r="G197" s="244"/>
      <c r="H197" s="244"/>
      <c r="I197" s="244"/>
      <c r="J197" s="244"/>
      <c r="K197" s="245"/>
      <c r="L197" s="239"/>
      <c r="AO197" s="45"/>
      <c r="AQ197" s="246"/>
      <c r="AR197" s="241"/>
      <c r="AS197" s="241"/>
      <c r="AT197" s="241"/>
      <c r="AU197" s="241"/>
      <c r="AV197" s="241"/>
      <c r="AW197" s="241"/>
      <c r="AX197" s="241"/>
      <c r="AY197" s="241"/>
      <c r="AZ197" s="241"/>
      <c r="BA197" s="247"/>
    </row>
    <row r="198" spans="1:53" s="2" customFormat="1" ht="12.75">
      <c r="A198" s="243"/>
      <c r="B198" s="244"/>
      <c r="C198" s="244"/>
      <c r="D198" s="244"/>
      <c r="E198" s="244"/>
      <c r="F198" s="244"/>
      <c r="G198" s="244"/>
      <c r="H198" s="244"/>
      <c r="I198" s="244"/>
      <c r="J198" s="244"/>
      <c r="K198" s="245"/>
      <c r="L198" s="239"/>
      <c r="AO198" s="45"/>
      <c r="AQ198" s="246"/>
      <c r="AR198" s="241"/>
      <c r="AS198" s="241"/>
      <c r="AT198" s="241"/>
      <c r="AU198" s="241"/>
      <c r="AV198" s="241"/>
      <c r="AW198" s="241"/>
      <c r="AX198" s="241"/>
      <c r="AY198" s="241"/>
      <c r="AZ198" s="241"/>
      <c r="BA198" s="247"/>
    </row>
    <row r="199" spans="1:53" s="2" customFormat="1" ht="12.75">
      <c r="A199" s="243"/>
      <c r="B199" s="244"/>
      <c r="C199" s="244"/>
      <c r="D199" s="244"/>
      <c r="E199" s="244"/>
      <c r="F199" s="244"/>
      <c r="G199" s="244"/>
      <c r="H199" s="244"/>
      <c r="I199" s="244"/>
      <c r="J199" s="244"/>
      <c r="K199" s="245"/>
      <c r="L199" s="239"/>
      <c r="AO199" s="45"/>
      <c r="AQ199" s="246"/>
      <c r="AR199" s="241"/>
      <c r="AS199" s="241"/>
      <c r="AT199" s="241"/>
      <c r="AU199" s="241"/>
      <c r="AV199" s="241"/>
      <c r="AW199" s="241"/>
      <c r="AX199" s="241"/>
      <c r="AY199" s="241"/>
      <c r="AZ199" s="241"/>
      <c r="BA199" s="247"/>
    </row>
    <row r="200" spans="1:53" s="2" customFormat="1" ht="12.75">
      <c r="A200" s="243"/>
      <c r="B200" s="244"/>
      <c r="C200" s="244"/>
      <c r="D200" s="244"/>
      <c r="E200" s="244"/>
      <c r="F200" s="244"/>
      <c r="G200" s="244"/>
      <c r="H200" s="244"/>
      <c r="I200" s="244"/>
      <c r="J200" s="244"/>
      <c r="K200" s="245"/>
      <c r="L200" s="239"/>
      <c r="AO200" s="45"/>
      <c r="AQ200" s="246"/>
      <c r="AR200" s="241"/>
      <c r="AS200" s="241"/>
      <c r="AT200" s="241"/>
      <c r="AU200" s="241"/>
      <c r="AV200" s="241"/>
      <c r="AW200" s="241"/>
      <c r="AX200" s="241"/>
      <c r="AY200" s="241"/>
      <c r="AZ200" s="241"/>
      <c r="BA200" s="247"/>
    </row>
    <row r="201" spans="1:53" s="2" customFormat="1" ht="12.75">
      <c r="A201" s="243"/>
      <c r="B201" s="244"/>
      <c r="C201" s="244"/>
      <c r="D201" s="244"/>
      <c r="E201" s="244"/>
      <c r="F201" s="244"/>
      <c r="G201" s="244"/>
      <c r="H201" s="244"/>
      <c r="I201" s="244"/>
      <c r="J201" s="244"/>
      <c r="K201" s="245"/>
      <c r="L201" s="239"/>
      <c r="AO201" s="45"/>
      <c r="AQ201" s="246"/>
      <c r="AR201" s="241"/>
      <c r="AS201" s="241"/>
      <c r="AT201" s="241"/>
      <c r="AU201" s="241"/>
      <c r="AV201" s="241"/>
      <c r="AW201" s="241"/>
      <c r="AX201" s="241"/>
      <c r="AY201" s="241"/>
      <c r="AZ201" s="241"/>
      <c r="BA201" s="247"/>
    </row>
    <row r="202" spans="1:53" s="2" customFormat="1" ht="12.75">
      <c r="A202" s="243"/>
      <c r="B202" s="244"/>
      <c r="C202" s="244"/>
      <c r="D202" s="244"/>
      <c r="E202" s="244"/>
      <c r="F202" s="244"/>
      <c r="G202" s="244"/>
      <c r="H202" s="244"/>
      <c r="I202" s="244"/>
      <c r="J202" s="244"/>
      <c r="K202" s="245"/>
      <c r="L202" s="239"/>
      <c r="AO202" s="45"/>
      <c r="AQ202" s="246"/>
      <c r="AR202" s="241"/>
      <c r="AS202" s="241"/>
      <c r="AT202" s="241"/>
      <c r="AU202" s="241"/>
      <c r="AV202" s="241"/>
      <c r="AW202" s="241"/>
      <c r="AX202" s="241"/>
      <c r="AY202" s="241"/>
      <c r="AZ202" s="241"/>
      <c r="BA202" s="247"/>
    </row>
    <row r="203" spans="1:53" s="2" customFormat="1" ht="12.75">
      <c r="A203" s="243"/>
      <c r="B203" s="244"/>
      <c r="C203" s="244"/>
      <c r="D203" s="244"/>
      <c r="E203" s="244"/>
      <c r="F203" s="244"/>
      <c r="G203" s="244"/>
      <c r="H203" s="244"/>
      <c r="I203" s="244"/>
      <c r="J203" s="244"/>
      <c r="K203" s="245"/>
      <c r="L203" s="239"/>
      <c r="AO203" s="45"/>
      <c r="AQ203" s="246"/>
      <c r="AR203" s="241"/>
      <c r="AS203" s="241"/>
      <c r="AT203" s="241"/>
      <c r="AU203" s="241"/>
      <c r="AV203" s="241"/>
      <c r="AW203" s="241"/>
      <c r="AX203" s="241"/>
      <c r="AY203" s="241"/>
      <c r="AZ203" s="241"/>
      <c r="BA203" s="247"/>
    </row>
    <row r="204" spans="1:53" s="2" customFormat="1" ht="12.75">
      <c r="A204" s="243"/>
      <c r="B204" s="244"/>
      <c r="C204" s="244"/>
      <c r="D204" s="244"/>
      <c r="E204" s="244"/>
      <c r="F204" s="244"/>
      <c r="G204" s="244"/>
      <c r="H204" s="244"/>
      <c r="I204" s="244"/>
      <c r="J204" s="244"/>
      <c r="K204" s="245"/>
      <c r="L204" s="239"/>
      <c r="AO204" s="45"/>
      <c r="AQ204" s="246"/>
      <c r="AR204" s="241"/>
      <c r="AS204" s="241"/>
      <c r="AT204" s="241"/>
      <c r="AU204" s="241"/>
      <c r="AV204" s="241"/>
      <c r="AW204" s="241"/>
      <c r="AX204" s="241"/>
      <c r="AY204" s="241"/>
      <c r="AZ204" s="241"/>
      <c r="BA204" s="247"/>
    </row>
    <row r="205" spans="1:53" s="2" customFormat="1" ht="12.75">
      <c r="A205" s="243"/>
      <c r="B205" s="244"/>
      <c r="C205" s="244"/>
      <c r="D205" s="244"/>
      <c r="E205" s="244"/>
      <c r="F205" s="244"/>
      <c r="G205" s="244"/>
      <c r="H205" s="244"/>
      <c r="I205" s="244"/>
      <c r="J205" s="244"/>
      <c r="K205" s="245"/>
      <c r="L205" s="239"/>
      <c r="AO205" s="45"/>
      <c r="AQ205" s="246"/>
      <c r="AR205" s="241"/>
      <c r="AS205" s="241"/>
      <c r="AT205" s="241"/>
      <c r="AU205" s="241"/>
      <c r="AV205" s="241"/>
      <c r="AW205" s="241"/>
      <c r="AX205" s="241"/>
      <c r="AY205" s="241"/>
      <c r="AZ205" s="241"/>
      <c r="BA205" s="247"/>
    </row>
    <row r="206" spans="1:53" s="2" customFormat="1" ht="12.75">
      <c r="A206" s="243"/>
      <c r="B206" s="244"/>
      <c r="C206" s="244"/>
      <c r="D206" s="244"/>
      <c r="E206" s="244"/>
      <c r="F206" s="244"/>
      <c r="G206" s="244"/>
      <c r="H206" s="244"/>
      <c r="I206" s="244"/>
      <c r="J206" s="244"/>
      <c r="K206" s="245"/>
      <c r="L206" s="239"/>
      <c r="AO206" s="45"/>
      <c r="AQ206" s="246"/>
      <c r="AR206" s="241"/>
      <c r="AS206" s="241"/>
      <c r="AT206" s="241"/>
      <c r="AU206" s="241"/>
      <c r="AV206" s="241"/>
      <c r="AW206" s="241"/>
      <c r="AX206" s="241"/>
      <c r="AY206" s="241"/>
      <c r="AZ206" s="241"/>
      <c r="BA206" s="247"/>
    </row>
    <row r="207" spans="1:53" s="2" customFormat="1" ht="12.75">
      <c r="A207" s="243"/>
      <c r="B207" s="244"/>
      <c r="C207" s="244"/>
      <c r="D207" s="244"/>
      <c r="E207" s="244"/>
      <c r="F207" s="244"/>
      <c r="G207" s="244"/>
      <c r="H207" s="244"/>
      <c r="I207" s="244"/>
      <c r="J207" s="244"/>
      <c r="K207" s="245"/>
      <c r="L207" s="239"/>
      <c r="AO207" s="45"/>
      <c r="AQ207" s="246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7"/>
    </row>
    <row r="208" spans="1:53" s="2" customFormat="1" ht="12.75">
      <c r="A208" s="243"/>
      <c r="B208" s="244"/>
      <c r="C208" s="244"/>
      <c r="D208" s="244"/>
      <c r="E208" s="244"/>
      <c r="F208" s="244"/>
      <c r="G208" s="244"/>
      <c r="H208" s="244"/>
      <c r="I208" s="244"/>
      <c r="J208" s="244"/>
      <c r="K208" s="245"/>
      <c r="L208" s="239"/>
      <c r="AO208" s="45"/>
      <c r="AQ208" s="246"/>
      <c r="AR208" s="241"/>
      <c r="AS208" s="241"/>
      <c r="AT208" s="241"/>
      <c r="AU208" s="241"/>
      <c r="AV208" s="241"/>
      <c r="AW208" s="241"/>
      <c r="AX208" s="241"/>
      <c r="AY208" s="241"/>
      <c r="AZ208" s="241"/>
      <c r="BA208" s="247"/>
    </row>
    <row r="209" spans="1:53" s="2" customFormat="1" ht="12.75">
      <c r="A209" s="243"/>
      <c r="B209" s="244"/>
      <c r="C209" s="244"/>
      <c r="D209" s="244"/>
      <c r="E209" s="244"/>
      <c r="F209" s="244"/>
      <c r="G209" s="244"/>
      <c r="H209" s="244"/>
      <c r="I209" s="244"/>
      <c r="J209" s="244"/>
      <c r="K209" s="245"/>
      <c r="L209" s="239"/>
      <c r="AO209" s="45"/>
      <c r="AQ209" s="246"/>
      <c r="AR209" s="241"/>
      <c r="AS209" s="241"/>
      <c r="AT209" s="241"/>
      <c r="AU209" s="241"/>
      <c r="AV209" s="241"/>
      <c r="AW209" s="241"/>
      <c r="AX209" s="241"/>
      <c r="AY209" s="241"/>
      <c r="AZ209" s="241"/>
      <c r="BA209" s="247"/>
    </row>
    <row r="210" spans="1:53" s="2" customFormat="1" ht="12.75">
      <c r="A210" s="243"/>
      <c r="B210" s="244"/>
      <c r="C210" s="244"/>
      <c r="D210" s="244"/>
      <c r="E210" s="244"/>
      <c r="F210" s="244"/>
      <c r="G210" s="244"/>
      <c r="H210" s="244"/>
      <c r="I210" s="244"/>
      <c r="J210" s="244"/>
      <c r="K210" s="245"/>
      <c r="L210" s="239"/>
      <c r="AO210" s="45"/>
      <c r="AQ210" s="246"/>
      <c r="AR210" s="241"/>
      <c r="AS210" s="241"/>
      <c r="AT210" s="241"/>
      <c r="AU210" s="241"/>
      <c r="AV210" s="241"/>
      <c r="AW210" s="241"/>
      <c r="AX210" s="241"/>
      <c r="AY210" s="241"/>
      <c r="AZ210" s="241"/>
      <c r="BA210" s="247"/>
    </row>
    <row r="211" spans="1:53" ht="12.75">
      <c r="A211" s="243"/>
      <c r="B211" s="244"/>
      <c r="C211" s="244"/>
      <c r="D211" s="244"/>
      <c r="E211" s="244"/>
      <c r="F211" s="244"/>
      <c r="G211" s="244"/>
      <c r="H211" s="244"/>
      <c r="I211" s="244"/>
      <c r="J211" s="244"/>
      <c r="K211" s="245"/>
      <c r="L211" s="239"/>
      <c r="AQ211" s="248"/>
      <c r="AR211" s="249"/>
      <c r="AS211" s="249"/>
      <c r="AT211" s="249"/>
      <c r="AU211" s="249"/>
      <c r="AV211" s="249"/>
      <c r="AW211" s="249"/>
      <c r="AX211" s="249"/>
      <c r="AY211" s="249"/>
      <c r="AZ211" s="249"/>
      <c r="BA211" s="250"/>
    </row>
    <row r="212" spans="1:53" ht="12.75">
      <c r="A212" s="243"/>
      <c r="B212" s="244"/>
      <c r="C212" s="244"/>
      <c r="D212" s="244"/>
      <c r="E212" s="244"/>
      <c r="F212" s="244"/>
      <c r="G212" s="244"/>
      <c r="H212" s="244"/>
      <c r="I212" s="244"/>
      <c r="J212" s="244"/>
      <c r="K212" s="245"/>
      <c r="L212" s="239"/>
      <c r="AQ212" s="248"/>
      <c r="AR212" s="249"/>
      <c r="AS212" s="249"/>
      <c r="AT212" s="249"/>
      <c r="AU212" s="249"/>
      <c r="AV212" s="249"/>
      <c r="AW212" s="249"/>
      <c r="AX212" s="249"/>
      <c r="AY212" s="249"/>
      <c r="AZ212" s="249"/>
      <c r="BA212" s="250"/>
    </row>
    <row r="213" spans="1:53" ht="12.75">
      <c r="A213" s="243"/>
      <c r="B213" s="244"/>
      <c r="C213" s="244"/>
      <c r="D213" s="244"/>
      <c r="E213" s="244"/>
      <c r="F213" s="244"/>
      <c r="G213" s="244"/>
      <c r="H213" s="244"/>
      <c r="I213" s="244"/>
      <c r="J213" s="244"/>
      <c r="K213" s="245"/>
      <c r="L213" s="239"/>
      <c r="AQ213" s="248"/>
      <c r="AR213" s="249"/>
      <c r="AS213" s="249"/>
      <c r="AT213" s="249"/>
      <c r="AU213" s="249"/>
      <c r="AV213" s="249"/>
      <c r="AW213" s="249"/>
      <c r="AX213" s="249"/>
      <c r="AY213" s="249"/>
      <c r="AZ213" s="249"/>
      <c r="BA213" s="250"/>
    </row>
    <row r="214" spans="1:53" ht="12.75">
      <c r="A214" s="243"/>
      <c r="B214" s="244"/>
      <c r="C214" s="244"/>
      <c r="D214" s="244"/>
      <c r="E214" s="244"/>
      <c r="F214" s="244"/>
      <c r="G214" s="244"/>
      <c r="H214" s="244"/>
      <c r="I214" s="244"/>
      <c r="J214" s="244"/>
      <c r="K214" s="245"/>
      <c r="L214" s="239"/>
      <c r="AQ214" s="248"/>
      <c r="AR214" s="249"/>
      <c r="AS214" s="249"/>
      <c r="AT214" s="249"/>
      <c r="AU214" s="249"/>
      <c r="AV214" s="249"/>
      <c r="AW214" s="249"/>
      <c r="AX214" s="249"/>
      <c r="AY214" s="249"/>
      <c r="AZ214" s="249"/>
      <c r="BA214" s="250"/>
    </row>
    <row r="215" spans="1:53" ht="12.75">
      <c r="A215" s="243"/>
      <c r="B215" s="244"/>
      <c r="C215" s="244"/>
      <c r="D215" s="244"/>
      <c r="E215" s="244"/>
      <c r="F215" s="244"/>
      <c r="G215" s="244"/>
      <c r="H215" s="244"/>
      <c r="I215" s="244"/>
      <c r="J215" s="244"/>
      <c r="K215" s="245"/>
      <c r="L215" s="239"/>
      <c r="AQ215" s="248"/>
      <c r="AR215" s="249"/>
      <c r="AS215" s="249"/>
      <c r="AT215" s="249"/>
      <c r="AU215" s="249"/>
      <c r="AV215" s="249"/>
      <c r="AW215" s="249"/>
      <c r="AX215" s="249"/>
      <c r="AY215" s="249"/>
      <c r="AZ215" s="249"/>
      <c r="BA215" s="250"/>
    </row>
    <row r="216" spans="1:53" ht="12.75">
      <c r="A216" s="243"/>
      <c r="B216" s="244"/>
      <c r="C216" s="244"/>
      <c r="D216" s="244"/>
      <c r="E216" s="244"/>
      <c r="F216" s="244"/>
      <c r="G216" s="244"/>
      <c r="H216" s="244"/>
      <c r="I216" s="244"/>
      <c r="J216" s="244"/>
      <c r="K216" s="245"/>
      <c r="L216" s="239"/>
      <c r="AQ216" s="248"/>
      <c r="AR216" s="249"/>
      <c r="AS216" s="249"/>
      <c r="AT216" s="249"/>
      <c r="AU216" s="249"/>
      <c r="AV216" s="249"/>
      <c r="AW216" s="249"/>
      <c r="AX216" s="249"/>
      <c r="AY216" s="249"/>
      <c r="AZ216" s="249"/>
      <c r="BA216" s="250"/>
    </row>
    <row r="217" spans="1:53" ht="12.75">
      <c r="A217" s="243"/>
      <c r="B217" s="244"/>
      <c r="C217" s="244"/>
      <c r="D217" s="244"/>
      <c r="E217" s="244"/>
      <c r="F217" s="244"/>
      <c r="G217" s="244"/>
      <c r="H217" s="244"/>
      <c r="I217" s="244"/>
      <c r="J217" s="244"/>
      <c r="K217" s="245"/>
      <c r="L217" s="239"/>
      <c r="AQ217" s="248"/>
      <c r="AR217" s="249"/>
      <c r="AS217" s="249"/>
      <c r="AT217" s="249"/>
      <c r="AU217" s="249"/>
      <c r="AV217" s="249"/>
      <c r="AW217" s="249"/>
      <c r="AX217" s="249"/>
      <c r="AY217" s="249"/>
      <c r="AZ217" s="249"/>
      <c r="BA217" s="250"/>
    </row>
    <row r="218" spans="1:53" ht="12.75">
      <c r="A218" s="243"/>
      <c r="B218" s="244"/>
      <c r="C218" s="244"/>
      <c r="D218" s="244"/>
      <c r="E218" s="244"/>
      <c r="F218" s="244"/>
      <c r="G218" s="244"/>
      <c r="H218" s="244"/>
      <c r="I218" s="244"/>
      <c r="J218" s="244"/>
      <c r="K218" s="245"/>
      <c r="L218" s="239"/>
      <c r="AQ218" s="248"/>
      <c r="AR218" s="249"/>
      <c r="AS218" s="249"/>
      <c r="AT218" s="249"/>
      <c r="AU218" s="249"/>
      <c r="AV218" s="249"/>
      <c r="AW218" s="249"/>
      <c r="AX218" s="249"/>
      <c r="AY218" s="249"/>
      <c r="AZ218" s="249"/>
      <c r="BA218" s="250"/>
    </row>
    <row r="219" spans="1:53" ht="12.75">
      <c r="A219" s="243"/>
      <c r="B219" s="244"/>
      <c r="C219" s="244"/>
      <c r="D219" s="244"/>
      <c r="E219" s="244"/>
      <c r="F219" s="244"/>
      <c r="G219" s="244"/>
      <c r="H219" s="244"/>
      <c r="I219" s="244"/>
      <c r="J219" s="244"/>
      <c r="K219" s="245"/>
      <c r="L219" s="239"/>
      <c r="AQ219" s="248"/>
      <c r="AR219" s="249"/>
      <c r="AS219" s="249"/>
      <c r="AT219" s="249"/>
      <c r="AU219" s="249"/>
      <c r="AV219" s="249"/>
      <c r="AW219" s="249"/>
      <c r="AX219" s="249"/>
      <c r="AY219" s="249"/>
      <c r="AZ219" s="249"/>
      <c r="BA219" s="250"/>
    </row>
    <row r="220" spans="1:53" ht="12.75">
      <c r="A220" s="243"/>
      <c r="B220" s="244"/>
      <c r="C220" s="244"/>
      <c r="D220" s="244"/>
      <c r="E220" s="244"/>
      <c r="F220" s="244"/>
      <c r="G220" s="244"/>
      <c r="H220" s="244"/>
      <c r="I220" s="244"/>
      <c r="J220" s="244"/>
      <c r="K220" s="245"/>
      <c r="L220" s="239"/>
      <c r="AQ220" s="248"/>
      <c r="AR220" s="249"/>
      <c r="AS220" s="249"/>
      <c r="AT220" s="249"/>
      <c r="AU220" s="249"/>
      <c r="AV220" s="249"/>
      <c r="AW220" s="249"/>
      <c r="AX220" s="249"/>
      <c r="AY220" s="249"/>
      <c r="AZ220" s="249"/>
      <c r="BA220" s="250"/>
    </row>
    <row r="221" spans="1:53" ht="12.75">
      <c r="A221" s="243"/>
      <c r="B221" s="244"/>
      <c r="C221" s="244"/>
      <c r="D221" s="244"/>
      <c r="E221" s="244"/>
      <c r="F221" s="244"/>
      <c r="G221" s="244"/>
      <c r="H221" s="244"/>
      <c r="I221" s="244"/>
      <c r="J221" s="244"/>
      <c r="K221" s="245"/>
      <c r="L221" s="239"/>
      <c r="AQ221" s="248"/>
      <c r="AR221" s="249"/>
      <c r="AS221" s="249"/>
      <c r="AT221" s="249"/>
      <c r="AU221" s="249"/>
      <c r="AV221" s="249"/>
      <c r="AW221" s="249"/>
      <c r="AX221" s="249"/>
      <c r="AY221" s="249"/>
      <c r="AZ221" s="249"/>
      <c r="BA221" s="250"/>
    </row>
    <row r="222" spans="1:53" ht="12.75">
      <c r="A222" s="243"/>
      <c r="B222" s="244"/>
      <c r="C222" s="244"/>
      <c r="D222" s="244"/>
      <c r="E222" s="244"/>
      <c r="F222" s="244"/>
      <c r="G222" s="244"/>
      <c r="H222" s="244"/>
      <c r="I222" s="244"/>
      <c r="J222" s="244"/>
      <c r="K222" s="245"/>
      <c r="L222" s="239"/>
      <c r="AQ222" s="248"/>
      <c r="AR222" s="249"/>
      <c r="AS222" s="249"/>
      <c r="AT222" s="249"/>
      <c r="AU222" s="249"/>
      <c r="AV222" s="249"/>
      <c r="AW222" s="249"/>
      <c r="AX222" s="249"/>
      <c r="AY222" s="249"/>
      <c r="AZ222" s="249"/>
      <c r="BA222" s="250"/>
    </row>
    <row r="223" spans="1:53" ht="12.75">
      <c r="A223" s="243"/>
      <c r="B223" s="244"/>
      <c r="C223" s="244"/>
      <c r="D223" s="244"/>
      <c r="E223" s="244"/>
      <c r="F223" s="244"/>
      <c r="G223" s="244"/>
      <c r="H223" s="244"/>
      <c r="I223" s="244"/>
      <c r="J223" s="244"/>
      <c r="K223" s="245"/>
      <c r="L223" s="239"/>
      <c r="AQ223" s="248"/>
      <c r="AR223" s="249"/>
      <c r="AS223" s="249"/>
      <c r="AT223" s="249"/>
      <c r="AU223" s="249"/>
      <c r="AV223" s="249"/>
      <c r="AW223" s="249"/>
      <c r="AX223" s="249"/>
      <c r="AY223" s="249"/>
      <c r="AZ223" s="249"/>
      <c r="BA223" s="250"/>
    </row>
    <row r="224" spans="1:53" ht="12.75">
      <c r="A224" s="243"/>
      <c r="B224" s="244"/>
      <c r="C224" s="244"/>
      <c r="D224" s="244"/>
      <c r="E224" s="244"/>
      <c r="F224" s="244"/>
      <c r="G224" s="244"/>
      <c r="H224" s="244"/>
      <c r="I224" s="244"/>
      <c r="J224" s="244"/>
      <c r="K224" s="245"/>
      <c r="L224" s="239"/>
      <c r="AQ224" s="248"/>
      <c r="AR224" s="249"/>
      <c r="AS224" s="249"/>
      <c r="AT224" s="249"/>
      <c r="AU224" s="249"/>
      <c r="AV224" s="249"/>
      <c r="AW224" s="249"/>
      <c r="AX224" s="249"/>
      <c r="AY224" s="249"/>
      <c r="AZ224" s="249"/>
      <c r="BA224" s="250"/>
    </row>
    <row r="225" spans="1:53" ht="12.75">
      <c r="A225" s="243"/>
      <c r="B225" s="244"/>
      <c r="C225" s="244"/>
      <c r="D225" s="244"/>
      <c r="E225" s="244"/>
      <c r="F225" s="244"/>
      <c r="G225" s="244"/>
      <c r="H225" s="244"/>
      <c r="I225" s="244"/>
      <c r="J225" s="244"/>
      <c r="K225" s="245"/>
      <c r="L225" s="239"/>
      <c r="AQ225" s="248"/>
      <c r="AR225" s="249"/>
      <c r="AS225" s="249"/>
      <c r="AT225" s="249"/>
      <c r="AU225" s="249"/>
      <c r="AV225" s="249"/>
      <c r="AW225" s="249"/>
      <c r="AX225" s="249"/>
      <c r="AY225" s="249"/>
      <c r="AZ225" s="249"/>
      <c r="BA225" s="250"/>
    </row>
    <row r="226" spans="1:53" ht="12.75">
      <c r="A226" s="251"/>
      <c r="B226" s="252"/>
      <c r="C226" s="252"/>
      <c r="D226" s="252"/>
      <c r="E226" s="252"/>
      <c r="F226" s="252"/>
      <c r="G226" s="252"/>
      <c r="H226" s="252"/>
      <c r="I226" s="252"/>
      <c r="J226" s="252"/>
      <c r="K226" s="253"/>
      <c r="L226" s="239"/>
      <c r="AQ226" s="254"/>
      <c r="AR226" s="255"/>
      <c r="AS226" s="255"/>
      <c r="AT226" s="255"/>
      <c r="AU226" s="255"/>
      <c r="AV226" s="255"/>
      <c r="AW226" s="255"/>
      <c r="AX226" s="255"/>
      <c r="AY226" s="255"/>
      <c r="AZ226" s="255"/>
      <c r="BA226" s="256"/>
    </row>
  </sheetData>
  <mergeCells count="113">
    <mergeCell ref="A225:K225"/>
    <mergeCell ref="A226:K226"/>
    <mergeCell ref="A223:K223"/>
    <mergeCell ref="A224:K224"/>
    <mergeCell ref="A221:K221"/>
    <mergeCell ref="A222:K222"/>
    <mergeCell ref="A219:K219"/>
    <mergeCell ref="A220:K220"/>
    <mergeCell ref="A217:K217"/>
    <mergeCell ref="A218:K218"/>
    <mergeCell ref="A215:K215"/>
    <mergeCell ref="A216:K216"/>
    <mergeCell ref="A213:K213"/>
    <mergeCell ref="A214:K214"/>
    <mergeCell ref="A211:K211"/>
    <mergeCell ref="A212:K212"/>
    <mergeCell ref="A209:K209"/>
    <mergeCell ref="A210:K210"/>
    <mergeCell ref="A207:K207"/>
    <mergeCell ref="A208:K208"/>
    <mergeCell ref="A205:K205"/>
    <mergeCell ref="A206:K206"/>
    <mergeCell ref="A203:K203"/>
    <mergeCell ref="A204:K204"/>
    <mergeCell ref="A201:K201"/>
    <mergeCell ref="A202:K202"/>
    <mergeCell ref="A199:K199"/>
    <mergeCell ref="A200:K200"/>
    <mergeCell ref="A197:K197"/>
    <mergeCell ref="A198:K198"/>
    <mergeCell ref="A195:K195"/>
    <mergeCell ref="A196:K196"/>
    <mergeCell ref="A193:K193"/>
    <mergeCell ref="A194:K194"/>
    <mergeCell ref="A191:K191"/>
    <mergeCell ref="A192:K192"/>
    <mergeCell ref="A189:K189"/>
    <mergeCell ref="A190:K190"/>
    <mergeCell ref="A187:K187"/>
    <mergeCell ref="A188:K188"/>
    <mergeCell ref="A185:K185"/>
    <mergeCell ref="A186:K186"/>
    <mergeCell ref="A183:K183"/>
    <mergeCell ref="A184:K184"/>
    <mergeCell ref="A181:K181"/>
    <mergeCell ref="AQ181:BA181"/>
    <mergeCell ref="A182:K182"/>
    <mergeCell ref="AQ182:BA182"/>
    <mergeCell ref="A112:F112"/>
    <mergeCell ref="A132:B132"/>
    <mergeCell ref="A134:B134"/>
    <mergeCell ref="A154:B154"/>
    <mergeCell ref="A103:B103"/>
    <mergeCell ref="A105:B105"/>
    <mergeCell ref="AK100:AK101"/>
    <mergeCell ref="AL100:AL101"/>
    <mergeCell ref="AM100:AM101"/>
    <mergeCell ref="Y101:Z101"/>
    <mergeCell ref="AG100:AG101"/>
    <mergeCell ref="AH100:AH101"/>
    <mergeCell ref="AI100:AI101"/>
    <mergeCell ref="AJ100:AJ101"/>
    <mergeCell ref="AC100:AC101"/>
    <mergeCell ref="AD100:AD101"/>
    <mergeCell ref="AE100:AE101"/>
    <mergeCell ref="Y100:AA100"/>
    <mergeCell ref="T100:T101"/>
    <mergeCell ref="U100:U101"/>
    <mergeCell ref="V100:V101"/>
    <mergeCell ref="X100:X101"/>
    <mergeCell ref="P100:P101"/>
    <mergeCell ref="Q100:Q101"/>
    <mergeCell ref="R100:R101"/>
    <mergeCell ref="S100:S101"/>
    <mergeCell ref="K100:K101"/>
    <mergeCell ref="L100:L101"/>
    <mergeCell ref="M100:M101"/>
    <mergeCell ref="N100:N101"/>
    <mergeCell ref="A86:B86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A56:B56"/>
    <mergeCell ref="H67:J67"/>
    <mergeCell ref="A69:B69"/>
    <mergeCell ref="A18:B18"/>
    <mergeCell ref="A30:B30"/>
    <mergeCell ref="A10:B10"/>
    <mergeCell ref="A11:B11"/>
    <mergeCell ref="L8:M9"/>
    <mergeCell ref="N8:N9"/>
    <mergeCell ref="A6:B6"/>
    <mergeCell ref="C6:C8"/>
    <mergeCell ref="D6:D8"/>
    <mergeCell ref="E6:E8"/>
    <mergeCell ref="F6:F8"/>
    <mergeCell ref="G6:G8"/>
    <mergeCell ref="K6:K9"/>
    <mergeCell ref="L6:N7"/>
    <mergeCell ref="A4:B4"/>
    <mergeCell ref="E4:F4"/>
    <mergeCell ref="I4:J4"/>
    <mergeCell ref="A3:B3"/>
    <mergeCell ref="E3:F3"/>
    <mergeCell ref="H3:K3"/>
    <mergeCell ref="A2:B2"/>
    <mergeCell ref="E2:H2"/>
    <mergeCell ref="I2:J2"/>
  </mergeCells>
  <conditionalFormatting sqref="N162:N166 L157 K141:L141 K151:L151 K157:K160 K179:N179 R172 O163:P163 O165:P165 L166:M166 K177:N177 K164:K166 L162:L165">
    <cfRule type="expression" priority="1" dxfId="0" stopIfTrue="1">
      <formula>AND(LEFT(AC141,1)="E",(K141)="")</formula>
    </cfRule>
    <cfRule type="expression" priority="2" dxfId="1" stopIfTrue="1">
      <formula>LEFT(AC141,1)="E"</formula>
    </cfRule>
    <cfRule type="expression" priority="3" dxfId="2" stopIfTrue="1">
      <formula>LEFT(AC141,1)="W"</formula>
    </cfRule>
  </conditionalFormatting>
  <conditionalFormatting sqref="S146:V149 L158:L160 M141:N141 M151:N151 P139:Q139 N168 N170 P145:Q145 R106:R109 P113:R116 P120:Q120 P122:Q122 P124:Q124 P137:Q137 M157:N160 M162:M165 L106:N110 L113:N116 L118:N122 L124:N124 L126:N126 L128:N128 L130:N130 L136:N140 L144:N150 L152:N152">
    <cfRule type="expression" priority="4" dxfId="0" stopIfTrue="1">
      <formula>AND(LEFT(AC106,1)="E",(L106)="")</formula>
    </cfRule>
    <cfRule type="expression" priority="5" dxfId="1" stopIfTrue="1">
      <formula>LEFT(AC106,1)="E"</formula>
    </cfRule>
    <cfRule type="expression" priority="6" dxfId="2" stopIfTrue="1">
      <formula>LEFT(AC106,1)="W"</formula>
    </cfRule>
  </conditionalFormatting>
  <conditionalFormatting sqref="K162:K163">
    <cfRule type="expression" priority="7" dxfId="0" stopIfTrue="1">
      <formula>AND(LEFT(AC163,1)="E",(K162)="")</formula>
    </cfRule>
    <cfRule type="expression" priority="8" dxfId="1" stopIfTrue="1">
      <formula>LEFT(AC163,1)="E"</formula>
    </cfRule>
    <cfRule type="expression" priority="9" dxfId="2" stopIfTrue="1">
      <formula>LEFT(AC163,1)="W"</formula>
    </cfRule>
  </conditionalFormatting>
  <conditionalFormatting sqref="H3:K3 E3:F4">
    <cfRule type="expression" priority="10" dxfId="1" stopIfTrue="1">
      <formula>LEFT(#REF!,1)="E"</formula>
    </cfRule>
  </conditionalFormatting>
  <conditionalFormatting sqref="L3">
    <cfRule type="expression" priority="11" dxfId="1" stopIfTrue="1">
      <formula>LEFT(AC3,1)="E"</formula>
    </cfRule>
  </conditionalFormatting>
  <conditionalFormatting sqref="G3 D3:D4">
    <cfRule type="expression" priority="12" dxfId="1" stopIfTrue="1">
      <formula>LEFT(#REF!,1)="E"</formula>
    </cfRule>
  </conditionalFormatting>
  <conditionalFormatting sqref="G4">
    <cfRule type="expression" priority="13" dxfId="2" stopIfTrue="1">
      <formula>LEFT(#REF!,1)="W"</formula>
    </cfRule>
  </conditionalFormatting>
  <conditionalFormatting sqref="H4 K4">
    <cfRule type="expression" priority="14" dxfId="2" stopIfTrue="1">
      <formula>LEFT(#REF!,1)="W"</formula>
    </cfRule>
  </conditionalFormatting>
  <conditionalFormatting sqref="L4">
    <cfRule type="expression" priority="15" dxfId="2" stopIfTrue="1">
      <formula>LEFT(AC4,1)="W"</formula>
    </cfRule>
  </conditionalFormatting>
  <conditionalFormatting sqref="I4:J4">
    <cfRule type="expression" priority="16" dxfId="2" stopIfTrue="1">
      <formula>LEFT(#REF!,1)="W"</formula>
    </cfRule>
  </conditionalFormatting>
  <conditionalFormatting sqref="I178 C167 I176 G169 I174 C141:I141 C151:I151 I153:I156 G161 I161 G167:I167 I169 G171 G178 G176 I171 G174">
    <cfRule type="expression" priority="17" dxfId="0" stopIfTrue="1">
      <formula>AND(LEFT(#REF!,1)="E",(C141)="")</formula>
    </cfRule>
    <cfRule type="expression" priority="18" dxfId="1" stopIfTrue="1">
      <formula>LEFT(#REF!,1)="E"</formula>
    </cfRule>
    <cfRule type="expression" priority="19" dxfId="2" stopIfTrue="1">
      <formula>LEFT(#REF!,1)="W"</formula>
    </cfRule>
  </conditionalFormatting>
  <conditionalFormatting sqref="C54:G54 C90:G93 C32:G52 C82:G82 C84:G84 C96:G98 C58:G67 K106:K110 K113:K116 C113:I116 K118:K122 C118:I122 K124 C124:I124 K126 G126:I126 K128 G128:I128 K130 G130:I130 K136:K140 C136:I140 K144:K150 K152 C152:I152 G162:G166 C71:G80 C163:F166 C144:I150 H162:H165 G172:I173 G157:I160 I162:I166 C168:I168 I170 G175:I175 G179:I179 C177:I177 C20:G28 C12:G16">
    <cfRule type="expression" priority="20" dxfId="0" stopIfTrue="1">
      <formula>AND(LEFT(#REF!,1)="E",(C12)="")</formula>
    </cfRule>
    <cfRule type="expression" priority="21" dxfId="1" stopIfTrue="1">
      <formula>LEFT(#REF!,1)="E"</formula>
    </cfRule>
    <cfRule type="expression" priority="22" dxfId="2" stopIfTrue="1">
      <formula>LEFT(#REF!,1)="W"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22"/>
  <sheetViews>
    <sheetView workbookViewId="0" topLeftCell="A1">
      <selection activeCell="C8" sqref="C8"/>
    </sheetView>
  </sheetViews>
  <sheetFormatPr defaultColWidth="9.140625" defaultRowHeight="12.75"/>
  <cols>
    <col min="1" max="1" width="3.421875" style="338" customWidth="1"/>
    <col min="2" max="2" width="19.140625" style="338" customWidth="1"/>
    <col min="3" max="3" width="32.00390625" style="338" customWidth="1"/>
    <col min="4" max="7" width="11.7109375" style="338" customWidth="1"/>
    <col min="8" max="8" width="12.7109375" style="338" customWidth="1"/>
    <col min="9" max="9" width="11.7109375" style="338" customWidth="1"/>
    <col min="10" max="11" width="7.28125" style="338" customWidth="1"/>
    <col min="12" max="12" width="10.8515625" style="338" customWidth="1"/>
    <col min="13" max="13" width="9.140625" style="338" customWidth="1"/>
    <col min="14" max="14" width="17.7109375" style="338" customWidth="1"/>
    <col min="15" max="15" width="12.57421875" style="338" customWidth="1"/>
    <col min="16" max="16" width="19.140625" style="338" customWidth="1"/>
    <col min="17" max="22" width="9.140625" style="338" customWidth="1"/>
    <col min="23" max="23" width="46.7109375" style="338" customWidth="1"/>
    <col min="24" max="24" width="9.140625" style="338" customWidth="1"/>
    <col min="25" max="25" width="10.140625" style="338" customWidth="1"/>
    <col min="26" max="26" width="9.140625" style="338" customWidth="1"/>
    <col min="27" max="27" width="12.28125" style="338" customWidth="1"/>
    <col min="28" max="28" width="15.140625" style="338" customWidth="1"/>
    <col min="29" max="30" width="9.140625" style="338" customWidth="1"/>
    <col min="31" max="31" width="9.140625" style="338" hidden="1" customWidth="1"/>
    <col min="32" max="16384" width="9.140625" style="338" customWidth="1"/>
  </cols>
  <sheetData>
    <row r="1" spans="1:8" ht="8.25" customHeight="1">
      <c r="A1" s="339"/>
      <c r="B1" s="339"/>
      <c r="C1" s="339"/>
      <c r="D1" s="340"/>
      <c r="E1" s="340"/>
      <c r="H1" s="341"/>
    </row>
    <row r="2" spans="1:31" ht="12.75" customHeight="1">
      <c r="A2" s="342" t="s">
        <v>0</v>
      </c>
      <c r="B2" s="343"/>
      <c r="C2" s="344"/>
      <c r="D2" s="345" t="s">
        <v>1</v>
      </c>
      <c r="E2" s="346" t="s">
        <v>2</v>
      </c>
      <c r="F2" s="347"/>
      <c r="G2" s="348"/>
      <c r="H2" s="349" t="s">
        <v>3</v>
      </c>
      <c r="I2" s="350">
        <v>312</v>
      </c>
      <c r="U2" s="342" t="s">
        <v>0</v>
      </c>
      <c r="V2" s="343"/>
      <c r="W2" s="344"/>
      <c r="X2" s="345" t="s">
        <v>1</v>
      </c>
      <c r="Y2" s="351"/>
      <c r="Z2" s="352"/>
      <c r="AA2" s="353"/>
      <c r="AB2" s="349" t="s">
        <v>3</v>
      </c>
      <c r="AC2" s="354"/>
      <c r="AE2" s="338">
        <f>IF(LEN(TRIM(Y2&amp;AC2))&gt;0,1,0)</f>
        <v>0</v>
      </c>
    </row>
    <row r="3" spans="1:31" ht="12.75" customHeight="1">
      <c r="A3" s="355" t="s">
        <v>4</v>
      </c>
      <c r="B3" s="356"/>
      <c r="C3" s="357"/>
      <c r="D3" s="345"/>
      <c r="E3" s="358"/>
      <c r="F3" s="359"/>
      <c r="G3" s="360"/>
      <c r="H3" s="361"/>
      <c r="I3" s="362"/>
      <c r="U3" s="355" t="s">
        <v>4</v>
      </c>
      <c r="V3" s="356"/>
      <c r="W3" s="357"/>
      <c r="X3" s="345" t="s">
        <v>5</v>
      </c>
      <c r="Y3" s="363" t="e">
        <f>IF(AND(E3="",#REF!&lt;&gt;"*"),"",IF(AND(E3="",#REF!="*"),"Error H1",""))</f>
        <v>#REF!</v>
      </c>
      <c r="Z3" s="364" t="s">
        <v>6</v>
      </c>
      <c r="AA3" s="365" t="e">
        <f>IF(AND(G3="",#REF!&lt;&gt;"*"),"",IF(AND(G3="",#REF!="*"),"Error H3",IF(ISERROR(FIND("@",G3,1)),"Error H3","")))</f>
        <v>#REF!</v>
      </c>
      <c r="AB3" s="366"/>
      <c r="AC3" s="367"/>
      <c r="AE3" s="338" t="e">
        <f>IF(LEN(TRIM(Y3&amp;AA3))&gt;0,1,0)</f>
        <v>#REF!</v>
      </c>
    </row>
    <row r="4" spans="1:31" ht="12.75" customHeight="1" thickBot="1">
      <c r="A4" s="368" t="s">
        <v>334</v>
      </c>
      <c r="B4" s="369"/>
      <c r="C4" s="370"/>
      <c r="D4" s="345"/>
      <c r="E4" s="358"/>
      <c r="F4" s="345"/>
      <c r="G4" s="371"/>
      <c r="H4" s="372"/>
      <c r="I4" s="373"/>
      <c r="U4" s="368" t="s">
        <v>335</v>
      </c>
      <c r="V4" s="369"/>
      <c r="W4" s="370"/>
      <c r="X4" s="374" t="s">
        <v>8</v>
      </c>
      <c r="Y4" s="375" t="e">
        <f>IF(AND(E4="",#REF!&lt;&gt;"*"),"",IF(AND(E4="",#REF!="*"),"Error H2",IF(AND(E4&lt;&gt;"",ISNUMBER(VALUE(LEFT(E4,1)))=FALSE),"Error H2","")))</f>
        <v>#REF!</v>
      </c>
      <c r="Z4" s="374" t="s">
        <v>9</v>
      </c>
      <c r="AA4" s="376" t="e">
        <f>IF(AND(G4="",#REF!&lt;&gt;"*"),"",IF(AND(G4="",#REF!="*"),"Warning H1",""))</f>
        <v>#REF!</v>
      </c>
      <c r="AB4" s="377" t="s">
        <v>10</v>
      </c>
      <c r="AC4" s="378" t="e">
        <f ca="1">IF(AND(I4="",#REF!&lt;&gt;"*"),"",IF(AND(I4="",#REF!="*"),"Warning H2",IF(ISERROR(DAYS360(I4,TODAY())),"Warning H2",IF(I4&gt;TODAY(),"Warning H2",""))))</f>
        <v>#REF!</v>
      </c>
      <c r="AE4" s="338" t="e">
        <f>IF(LEN(TRIM(Y4&amp;AC4))&gt;0,1,0)</f>
        <v>#REF!</v>
      </c>
    </row>
    <row r="5" spans="1:29" ht="12.75" customHeight="1" thickTop="1">
      <c r="A5" s="379"/>
      <c r="B5" s="379"/>
      <c r="C5" s="379"/>
      <c r="D5" s="379"/>
      <c r="E5" s="379"/>
      <c r="F5" s="379"/>
      <c r="G5" s="379"/>
      <c r="H5" s="379"/>
      <c r="I5" s="379"/>
      <c r="U5" s="379"/>
      <c r="V5" s="379"/>
      <c r="W5" s="379"/>
      <c r="X5" s="379"/>
      <c r="Y5" s="379"/>
      <c r="Z5" s="379"/>
      <c r="AA5" s="379"/>
      <c r="AB5" s="379"/>
      <c r="AC5" s="379"/>
    </row>
    <row r="6" spans="1:29" ht="25.5" customHeight="1">
      <c r="A6" s="379"/>
      <c r="B6" s="379"/>
      <c r="C6" s="379"/>
      <c r="D6" s="380" t="s">
        <v>336</v>
      </c>
      <c r="E6" s="381" t="s">
        <v>337</v>
      </c>
      <c r="F6" s="381" t="s">
        <v>338</v>
      </c>
      <c r="G6" s="381" t="s">
        <v>103</v>
      </c>
      <c r="H6" s="381" t="s">
        <v>80</v>
      </c>
      <c r="I6" s="381" t="s">
        <v>105</v>
      </c>
      <c r="U6" s="379"/>
      <c r="V6" s="379"/>
      <c r="W6" s="379"/>
      <c r="X6" s="380" t="s">
        <v>336</v>
      </c>
      <c r="Y6" s="381" t="s">
        <v>337</v>
      </c>
      <c r="Z6" s="381" t="s">
        <v>338</v>
      </c>
      <c r="AA6" s="381" t="s">
        <v>103</v>
      </c>
      <c r="AB6" s="381" t="s">
        <v>80</v>
      </c>
      <c r="AC6" s="381" t="s">
        <v>105</v>
      </c>
    </row>
    <row r="7" spans="1:29" ht="12.75" customHeight="1">
      <c r="A7" s="379"/>
      <c r="B7" s="379"/>
      <c r="C7" s="379"/>
      <c r="D7" s="380"/>
      <c r="E7" s="382"/>
      <c r="F7" s="382"/>
      <c r="G7" s="382"/>
      <c r="H7" s="382"/>
      <c r="I7" s="382"/>
      <c r="U7" s="379"/>
      <c r="V7" s="379"/>
      <c r="W7" s="379"/>
      <c r="X7" s="380"/>
      <c r="Y7" s="382"/>
      <c r="Z7" s="382"/>
      <c r="AA7" s="382"/>
      <c r="AB7" s="382"/>
      <c r="AC7" s="382"/>
    </row>
    <row r="8" spans="1:86" s="385" customFormat="1" ht="12.75" customHeight="1">
      <c r="A8" s="379"/>
      <c r="B8" s="379"/>
      <c r="C8" s="379"/>
      <c r="D8" s="383" t="s">
        <v>339</v>
      </c>
      <c r="E8" s="383" t="s">
        <v>340</v>
      </c>
      <c r="F8" s="383" t="s">
        <v>341</v>
      </c>
      <c r="G8" s="383" t="s">
        <v>124</v>
      </c>
      <c r="H8" s="383" t="s">
        <v>125</v>
      </c>
      <c r="I8" s="383" t="s">
        <v>126</v>
      </c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79"/>
      <c r="V8" s="379"/>
      <c r="W8" s="379"/>
      <c r="X8" s="384" t="s">
        <v>339</v>
      </c>
      <c r="Y8" s="384" t="s">
        <v>342</v>
      </c>
      <c r="Z8" s="384" t="s">
        <v>341</v>
      </c>
      <c r="AA8" s="384" t="s">
        <v>124</v>
      </c>
      <c r="AB8" s="384" t="s">
        <v>125</v>
      </c>
      <c r="AC8" s="384" t="s">
        <v>126</v>
      </c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</row>
    <row r="9" spans="1:29" ht="12.75" customHeight="1">
      <c r="A9" s="379"/>
      <c r="B9" s="379"/>
      <c r="C9" s="379"/>
      <c r="D9" s="379"/>
      <c r="E9" s="379"/>
      <c r="F9" s="379"/>
      <c r="G9" s="379"/>
      <c r="H9" s="379"/>
      <c r="I9" s="379"/>
      <c r="U9" s="379"/>
      <c r="V9" s="379"/>
      <c r="W9" s="379"/>
      <c r="X9" s="379"/>
      <c r="Y9" s="379"/>
      <c r="Z9" s="379"/>
      <c r="AA9" s="379"/>
      <c r="AB9" s="379"/>
      <c r="AC9" s="379"/>
    </row>
    <row r="10" spans="1:29" ht="12.75" customHeight="1">
      <c r="A10" s="386" t="s">
        <v>343</v>
      </c>
      <c r="B10" s="387"/>
      <c r="C10" s="388"/>
      <c r="D10" s="388"/>
      <c r="E10" s="388"/>
      <c r="F10" s="388"/>
      <c r="G10" s="388"/>
      <c r="H10" s="388"/>
      <c r="I10" s="388"/>
      <c r="U10" s="386" t="s">
        <v>343</v>
      </c>
      <c r="V10" s="387"/>
      <c r="W10" s="388"/>
      <c r="X10" s="388"/>
      <c r="Y10" s="388"/>
      <c r="Z10" s="388"/>
      <c r="AA10" s="388"/>
      <c r="AB10" s="388"/>
      <c r="AC10" s="388"/>
    </row>
    <row r="11" spans="1:31" ht="12.75" customHeight="1">
      <c r="A11" s="389">
        <v>1</v>
      </c>
      <c r="B11" s="388" t="s">
        <v>344</v>
      </c>
      <c r="C11" s="390"/>
      <c r="D11" s="391">
        <v>0</v>
      </c>
      <c r="E11" s="391">
        <v>0</v>
      </c>
      <c r="F11" s="391">
        <v>36122</v>
      </c>
      <c r="G11" s="392">
        <f>SUM(D11:F11)</f>
        <v>36122</v>
      </c>
      <c r="H11" s="391">
        <v>0</v>
      </c>
      <c r="I11" s="393">
        <f>G11-H11</f>
        <v>36122</v>
      </c>
      <c r="U11" s="389">
        <v>1</v>
      </c>
      <c r="V11" s="388" t="s">
        <v>344</v>
      </c>
      <c r="W11" s="390"/>
      <c r="X11" s="394" t="e">
        <f>IF(AND(D11="",#REF!&lt;&gt;"*"),"",IF(AND(D11="",#REF!="*"),"Error 1.1",IF(D11="*","Warning 1.1",IF(ISNUMBER(D11)=FALSE,"Error 1.2",IF(D11&lt;0,"Error 1.3","")))))</f>
        <v>#REF!</v>
      </c>
      <c r="Y11" s="394" t="e">
        <f>IF(AND(E11="",#REF!&lt;&gt;"*"),"",IF(AND(E11="",#REF!="*"),"Error 1.1",IF(E11="*","Warning 1.1",IF(ISNUMBER(E11)=FALSE,"Error 1.2",IF(E11&lt;0,"Error 1.3","")))))</f>
        <v>#REF!</v>
      </c>
      <c r="Z11" s="394" t="e">
        <f>IF(AND(F11="",#REF!&lt;&gt;"*"),"",IF(AND(F11="",#REF!="*"),"Error 1.1",IF(F11="*","Warning 1.1",IF(ISNUMBER(F11)=FALSE,"Error 1.2",IF(F11&lt;0,"Error 1.3","")))))</f>
        <v>#REF!</v>
      </c>
      <c r="AA11" s="394">
        <f>IF(G11&lt;0,"Error 1.3","")</f>
      </c>
      <c r="AB11" s="394" t="e">
        <f>IF(AND(H11="",#REF!&lt;&gt;"*"),"",IF(AND(H11="",#REF!="*"),"Error 1.1",IF(H11="*","Warning 1.1",IF(ISNUMBER(H11)=FALSE,"Error 1.2",IF(H11&lt;0,"Error 1.3","")))))</f>
        <v>#REF!</v>
      </c>
      <c r="AC11" s="394">
        <f>IF(I11&lt;0,"Error 1.3","")</f>
      </c>
      <c r="AE11" s="338" t="e">
        <f>IF(LEN(TRIM(X11&amp;Y11&amp;Z11&amp;AA11&amp;AB11&amp;AC11))&gt;0,1,0)</f>
        <v>#REF!</v>
      </c>
    </row>
    <row r="12" spans="1:31" ht="12.75" customHeight="1">
      <c r="A12" s="389">
        <v>2</v>
      </c>
      <c r="B12" s="388" t="s">
        <v>345</v>
      </c>
      <c r="C12" s="390"/>
      <c r="D12" s="391">
        <v>0</v>
      </c>
      <c r="E12" s="391">
        <v>0</v>
      </c>
      <c r="F12" s="391">
        <v>1729829</v>
      </c>
      <c r="G12" s="392">
        <f>SUM(D12:F12)</f>
        <v>1729829</v>
      </c>
      <c r="H12" s="391">
        <v>794464</v>
      </c>
      <c r="I12" s="393">
        <f>G12-H12</f>
        <v>935365</v>
      </c>
      <c r="U12" s="389">
        <v>2</v>
      </c>
      <c r="V12" s="388" t="s">
        <v>345</v>
      </c>
      <c r="W12" s="390"/>
      <c r="X12" s="394" t="e">
        <f>IF(AND(D12="",#REF!&lt;&gt;"*"),"",IF(AND(D12="",#REF!="*"),"Error 1.1",IF(D12="*","Warning 1.1",IF(ISNUMBER(D12)=FALSE,"Error 1.2",IF(D12&lt;0,"Error 1.3","")))))</f>
        <v>#REF!</v>
      </c>
      <c r="Y12" s="394" t="e">
        <f>IF(AND(E12="",#REF!&lt;&gt;"*"),"",IF(AND(E12="",#REF!="*"),"Error 1.1",IF(E12="*","Warning 1.1",IF(ISNUMBER(E12)=FALSE,"Error 1.2",IF(E12&lt;0,"Error 1.3","")))))</f>
        <v>#REF!</v>
      </c>
      <c r="Z12" s="394" t="e">
        <f>IF(AND(F12="",#REF!&lt;&gt;"*"),"",IF(AND(F12="",#REF!="*"),"Error 1.1",IF(F12="*","Warning 1.1",IF(ISNUMBER(F12)=FALSE,"Error 1.2",IF(F12&lt;0,"Error 1.3","")))))</f>
        <v>#REF!</v>
      </c>
      <c r="AA12" s="394">
        <f aca="true" t="shared" si="0" ref="AA12:AA72">IF(G12&lt;0,"Error 1.3","")</f>
      </c>
      <c r="AB12" s="394" t="e">
        <f>IF(AND(H12="",#REF!&lt;&gt;"*"),"",IF(AND(H12="",#REF!="*"),"Error 1.1",IF(H12="*","Warning 1.1",IF(ISNUMBER(H12)=FALSE,"Error 1.2",IF(H12&lt;0,"Error 1.3","")))))</f>
        <v>#REF!</v>
      </c>
      <c r="AC12" s="394">
        <f aca="true" t="shared" si="1" ref="AC12:AC72">IF(I12&lt;0,"Error 1.3","")</f>
      </c>
      <c r="AE12" s="338" t="e">
        <f aca="true" t="shared" si="2" ref="AE12:AE74">IF(LEN(TRIM(X12&amp;Y12&amp;Z12&amp;AA12&amp;AB12&amp;AC12))&gt;0,1,0)</f>
        <v>#REF!</v>
      </c>
    </row>
    <row r="13" spans="1:31" ht="12.75" customHeight="1" thickBot="1">
      <c r="A13" s="389">
        <v>3</v>
      </c>
      <c r="B13" s="388" t="s">
        <v>346</v>
      </c>
      <c r="C13" s="390"/>
      <c r="D13" s="391">
        <v>0</v>
      </c>
      <c r="E13" s="391">
        <v>0</v>
      </c>
      <c r="F13" s="391">
        <v>0</v>
      </c>
      <c r="G13" s="392">
        <f>SUM(D13:F13)</f>
        <v>0</v>
      </c>
      <c r="H13" s="391">
        <v>0</v>
      </c>
      <c r="I13" s="395">
        <f>G13-H13</f>
        <v>0</v>
      </c>
      <c r="U13" s="389">
        <v>3</v>
      </c>
      <c r="V13" s="388" t="s">
        <v>346</v>
      </c>
      <c r="W13" s="390"/>
      <c r="X13" s="394" t="e">
        <f>IF(AND(D13="",#REF!&lt;&gt;"*"),"",IF(AND(D13="",#REF!="*"),"Error 1.1",IF(D13="*","Warning 1.1",IF(ISNUMBER(D13)=FALSE,"Error 1.2",IF(D13&lt;0,"Error 1.3","")))))</f>
        <v>#REF!</v>
      </c>
      <c r="Y13" s="394" t="e">
        <f>IF(AND(E13="",#REF!&lt;&gt;"*"),"",IF(AND(E13="",#REF!="*"),"Error 1.1",IF(E13="*","Warning 1.1",IF(ISNUMBER(E13)=FALSE,"Error 1.2",IF(E13&lt;0,"Error 1.3","")))))</f>
        <v>#REF!</v>
      </c>
      <c r="Z13" s="394" t="e">
        <f>IF(AND(F13="",#REF!&lt;&gt;"*"),"",IF(AND(F13="",#REF!="*"),"Error 1.1",IF(F13="*","Warning 1.1",IF(ISNUMBER(F13)=FALSE,"Error 1.2",IF(F13&lt;0,"Error 1.3","")))))</f>
        <v>#REF!</v>
      </c>
      <c r="AA13" s="394">
        <f t="shared" si="0"/>
      </c>
      <c r="AB13" s="394" t="e">
        <f>IF(AND(H13="",#REF!&lt;&gt;"*"),"",IF(AND(H13="",#REF!="*"),"Error 1.1",IF(H13="*","Warning 1.1",IF(ISNUMBER(H13)=FALSE,"Error 1.2",IF(H13&lt;0,"Error 1.3","")))))</f>
        <v>#REF!</v>
      </c>
      <c r="AC13" s="394">
        <f t="shared" si="1"/>
      </c>
      <c r="AE13" s="338" t="e">
        <f t="shared" si="2"/>
        <v>#REF!</v>
      </c>
    </row>
    <row r="14" spans="1:31" ht="12.75" customHeight="1" thickBot="1">
      <c r="A14" s="389">
        <v>4</v>
      </c>
      <c r="B14" s="387" t="s">
        <v>347</v>
      </c>
      <c r="C14" s="390"/>
      <c r="D14" s="396">
        <f>SUM(D11:D13)</f>
        <v>0</v>
      </c>
      <c r="E14" s="396">
        <f>SUM(E11:E13)</f>
        <v>0</v>
      </c>
      <c r="F14" s="396">
        <f>SUM(F11:F13)</f>
        <v>1765951</v>
      </c>
      <c r="G14" s="396">
        <f>SUM(G11:G13)</f>
        <v>1765951</v>
      </c>
      <c r="H14" s="396">
        <f>SUM(H11:H13)</f>
        <v>794464</v>
      </c>
      <c r="I14" s="397">
        <f>G14-H14</f>
        <v>971487</v>
      </c>
      <c r="U14" s="389">
        <v>4</v>
      </c>
      <c r="V14" s="387" t="s">
        <v>347</v>
      </c>
      <c r="W14" s="390"/>
      <c r="X14" s="394" t="e">
        <f>IF(AND(D14="",#REF!&lt;&gt;"*"),"",IF(AND(D14="",#REF!="*"),"Error 1.1",IF(D14="*","Warning 1.1",IF(ISNUMBER(D14)=FALSE,"Error 1.2",IF(D14&lt;0,"Error 1.3","")))))</f>
        <v>#REF!</v>
      </c>
      <c r="Y14" s="394" t="e">
        <f>IF(AND(E14="",#REF!&lt;&gt;"*"),"",IF(AND(E14="",#REF!="*"),"Error 1.1",IF(E14="*","Warning 1.1",IF(ISNUMBER(E14)=FALSE,"Error 1.2",IF(E14&lt;0,"Error 1.3","")))))</f>
        <v>#REF!</v>
      </c>
      <c r="Z14" s="394" t="e">
        <f>IF(AND(F14="",#REF!&lt;&gt;"*"),"",IF(AND(F14="",#REF!="*"),"Error 1.1",IF(F14="*","Warning 1.1",IF(ISNUMBER(F14)=FALSE,"Error 1.2",IF(F14&lt;0,"Error 1.3","")))))</f>
        <v>#REF!</v>
      </c>
      <c r="AA14" s="394">
        <f t="shared" si="0"/>
      </c>
      <c r="AB14" s="394" t="e">
        <f>IF(AND(H14="",#REF!&lt;&gt;"*"),"",IF(AND(H14="",#REF!="*"),"Error 1.1",IF(H14="*","Warning 1.1",IF(ISNUMBER(H14)=FALSE,"Error 1.2",IF(H14&lt;0,"Error 1.3","")))))</f>
        <v>#REF!</v>
      </c>
      <c r="AC14" s="394">
        <f t="shared" si="1"/>
      </c>
      <c r="AE14" s="338" t="e">
        <f t="shared" si="2"/>
        <v>#REF!</v>
      </c>
    </row>
    <row r="15" spans="1:29" ht="12.75" customHeight="1">
      <c r="A15" s="386"/>
      <c r="B15" s="387"/>
      <c r="C15" s="390"/>
      <c r="D15" s="398"/>
      <c r="E15" s="398"/>
      <c r="F15" s="398"/>
      <c r="G15" s="399"/>
      <c r="H15" s="400"/>
      <c r="I15" s="400"/>
      <c r="U15" s="386"/>
      <c r="V15" s="387"/>
      <c r="W15" s="390"/>
      <c r="X15" s="401"/>
      <c r="Y15" s="401"/>
      <c r="Z15" s="401"/>
      <c r="AA15" s="401"/>
      <c r="AB15" s="401"/>
      <c r="AC15" s="401"/>
    </row>
    <row r="16" spans="1:31" ht="12.75" customHeight="1">
      <c r="A16" s="386" t="s">
        <v>348</v>
      </c>
      <c r="B16" s="387"/>
      <c r="C16" s="390"/>
      <c r="D16" s="398"/>
      <c r="E16" s="398"/>
      <c r="F16" s="398"/>
      <c r="G16" s="402"/>
      <c r="H16" s="398"/>
      <c r="I16" s="403"/>
      <c r="U16" s="386" t="s">
        <v>348</v>
      </c>
      <c r="V16" s="387"/>
      <c r="W16" s="390"/>
      <c r="X16" s="404"/>
      <c r="Y16" s="404"/>
      <c r="Z16" s="404"/>
      <c r="AA16" s="404"/>
      <c r="AB16" s="404"/>
      <c r="AC16" s="404"/>
      <c r="AE16" s="338">
        <f t="shared" si="2"/>
        <v>0</v>
      </c>
    </row>
    <row r="17" spans="1:31" ht="12.75" customHeight="1">
      <c r="A17" s="389">
        <v>5</v>
      </c>
      <c r="B17" s="388" t="s">
        <v>349</v>
      </c>
      <c r="C17" s="390"/>
      <c r="D17" s="391">
        <v>0</v>
      </c>
      <c r="E17" s="391">
        <v>0</v>
      </c>
      <c r="F17" s="391">
        <f>828142.3+5392958+542442.5</f>
        <v>6763542.8</v>
      </c>
      <c r="G17" s="393">
        <f>SUM(D17:F17)</f>
        <v>6763542.8</v>
      </c>
      <c r="H17" s="391">
        <f>774838.44+832760+35551.5</f>
        <v>1643149.94</v>
      </c>
      <c r="I17" s="393">
        <f>G17-H17</f>
        <v>5120392.859999999</v>
      </c>
      <c r="U17" s="389">
        <v>5</v>
      </c>
      <c r="V17" s="388" t="s">
        <v>349</v>
      </c>
      <c r="W17" s="390"/>
      <c r="X17" s="394" t="e">
        <f>IF(AND(D17="",#REF!&lt;&gt;"*"),"",IF(AND(D17="",#REF!="*"),"Error 1.1",IF(D17="*","Warning 1.1",IF(ISNUMBER(D17)=FALSE,"Error 1.2",IF(D17&lt;0,"Error 1.3","")))))</f>
        <v>#REF!</v>
      </c>
      <c r="Y17" s="394" t="e">
        <f>IF(AND(E17="",#REF!&lt;&gt;"*"),"",IF(AND(E17="",#REF!="*"),"Error 1.1",IF(E17="*","Warning 1.1",IF(ISNUMBER(E17)=FALSE,"Error 1.2",IF(E17&lt;0,"Error 1.3","")))))</f>
        <v>#REF!</v>
      </c>
      <c r="Z17" s="394" t="e">
        <f>IF(AND(F17="",#REF!&lt;&gt;"*"),"",IF(AND(F17="",#REF!="*"),"Error 1.1",IF(F17="*","Warning 1.1",IF(ISNUMBER(F17)=FALSE,"Error 1.2",IF(F17&lt;0,"Error 1.3","")))))</f>
        <v>#REF!</v>
      </c>
      <c r="AA17" s="394">
        <f t="shared" si="0"/>
      </c>
      <c r="AB17" s="394" t="e">
        <f>IF(AND(H17="",#REF!&lt;&gt;"*"),"",IF(AND(H17="",#REF!="*"),"Error 1.1",IF(H17="*","Warning 1.1",IF(ISNUMBER(H17)=FALSE,"Error 1.2",IF(H17&lt;0,"Error 1.3","")))))</f>
        <v>#REF!</v>
      </c>
      <c r="AC17" s="394">
        <f t="shared" si="1"/>
      </c>
      <c r="AE17" s="338" t="e">
        <f t="shared" si="2"/>
        <v>#REF!</v>
      </c>
    </row>
    <row r="18" spans="1:31" ht="12.75" customHeight="1">
      <c r="A18" s="389">
        <v>6</v>
      </c>
      <c r="B18" s="388" t="s">
        <v>350</v>
      </c>
      <c r="C18" s="390"/>
      <c r="D18" s="391">
        <v>0</v>
      </c>
      <c r="E18" s="391">
        <v>0</v>
      </c>
      <c r="F18" s="391">
        <f>3801883.92+7118812</f>
        <v>10920695.92</v>
      </c>
      <c r="G18" s="393">
        <f aca="true" t="shared" si="3" ref="G18:G24">SUM(D18:F18)</f>
        <v>10920695.92</v>
      </c>
      <c r="H18" s="391">
        <f>4040696.5+129294</f>
        <v>4169990.5</v>
      </c>
      <c r="I18" s="393">
        <f aca="true" t="shared" si="4" ref="I18:I25">G18-H18</f>
        <v>6750705.42</v>
      </c>
      <c r="U18" s="389">
        <v>6</v>
      </c>
      <c r="V18" s="388" t="s">
        <v>350</v>
      </c>
      <c r="W18" s="390"/>
      <c r="X18" s="394" t="e">
        <f>IF(AND(D18="",#REF!&lt;&gt;"*"),"",IF(AND(D18="",#REF!="*"),"Error 1.1",IF(D18="*","Warning 1.1",IF(ISNUMBER(D18)=FALSE,"Error 1.2",IF(D18&lt;0,"Error 1.3","")))))</f>
        <v>#REF!</v>
      </c>
      <c r="Y18" s="394" t="e">
        <f>IF(AND(E18="",#REF!&lt;&gt;"*"),"",IF(AND(E18="",#REF!="*"),"Error 1.1",IF(E18="*","Warning 1.1",IF(ISNUMBER(E18)=FALSE,"Error 1.2",IF(E18&lt;0,"Error 1.3","")))))</f>
        <v>#REF!</v>
      </c>
      <c r="Z18" s="394" t="e">
        <f>IF(AND(F18="",#REF!&lt;&gt;"*"),"",IF(AND(F18="",#REF!="*"),"Error 1.1",IF(F18="*","Warning 1.1",IF(ISNUMBER(F18)=FALSE,"Error 1.2",IF(F18&lt;0,"Error 1.3","")))))</f>
        <v>#REF!</v>
      </c>
      <c r="AA18" s="394">
        <f t="shared" si="0"/>
      </c>
      <c r="AB18" s="394" t="e">
        <f>IF(AND(H18="",#REF!&lt;&gt;"*"),"",IF(AND(H18="",#REF!="*"),"Error 1.1",IF(H18="*","Warning 1.1",IF(ISNUMBER(H18)=FALSE,"Error 1.2",IF(H18&lt;0,"Error 1.3","")))))</f>
        <v>#REF!</v>
      </c>
      <c r="AC18" s="394">
        <f t="shared" si="1"/>
      </c>
      <c r="AE18" s="338" t="e">
        <f t="shared" si="2"/>
        <v>#REF!</v>
      </c>
    </row>
    <row r="19" spans="1:31" ht="12.75" customHeight="1">
      <c r="A19" s="389">
        <v>7</v>
      </c>
      <c r="B19" s="388" t="s">
        <v>351</v>
      </c>
      <c r="C19" s="390"/>
      <c r="D19" s="391">
        <v>0</v>
      </c>
      <c r="E19" s="391">
        <v>0</v>
      </c>
      <c r="F19" s="391">
        <f>3034+267404+542442.5</f>
        <v>812880.5</v>
      </c>
      <c r="G19" s="393">
        <f t="shared" si="3"/>
        <v>812880.5</v>
      </c>
      <c r="H19" s="391">
        <f>35000+35551.5+17500</f>
        <v>88051.5</v>
      </c>
      <c r="I19" s="393">
        <f t="shared" si="4"/>
        <v>724829</v>
      </c>
      <c r="U19" s="389">
        <v>7</v>
      </c>
      <c r="V19" s="388" t="s">
        <v>351</v>
      </c>
      <c r="W19" s="390"/>
      <c r="X19" s="394" t="e">
        <f>IF(AND(D19="",#REF!&lt;&gt;"*"),"",IF(AND(D19="",#REF!="*"),"Error 1.1",IF(D19="*","Warning 1.1",IF(ISNUMBER(D19)=FALSE,"Error 1.2",IF(D19&lt;0,"Error 1.3","")))))</f>
        <v>#REF!</v>
      </c>
      <c r="Y19" s="394" t="e">
        <f>IF(AND(E19="",#REF!&lt;&gt;"*"),"",IF(AND(E19="",#REF!="*"),"Error 1.1",IF(E19="*","Warning 1.1",IF(ISNUMBER(E19)=FALSE,"Error 1.2",IF(E19&lt;0,"Error 1.3","")))))</f>
        <v>#REF!</v>
      </c>
      <c r="Z19" s="394" t="e">
        <f>IF(AND(F19="",#REF!&lt;&gt;"*"),"",IF(AND(F19="",#REF!="*"),"Error 1.1",IF(F19="*","Warning 1.1",IF(ISNUMBER(F19)=FALSE,"Error 1.2",IF(F19&lt;0,"Error 1.3","")))))</f>
        <v>#REF!</v>
      </c>
      <c r="AA19" s="394">
        <f t="shared" si="0"/>
      </c>
      <c r="AB19" s="394" t="e">
        <f>IF(AND(H19="",#REF!&lt;&gt;"*"),"",IF(AND(H19="",#REF!="*"),"Error 1.1",IF(H19="*","Warning 1.1",IF(ISNUMBER(H19)=FALSE,"Error 1.2",IF(H19&lt;0,"Error 1.3","")))))</f>
        <v>#REF!</v>
      </c>
      <c r="AC19" s="394">
        <f t="shared" si="1"/>
      </c>
      <c r="AE19" s="338" t="e">
        <f t="shared" si="2"/>
        <v>#REF!</v>
      </c>
    </row>
    <row r="20" spans="1:31" ht="12.75" customHeight="1">
      <c r="A20" s="389">
        <v>8</v>
      </c>
      <c r="B20" s="388" t="s">
        <v>352</v>
      </c>
      <c r="C20" s="405"/>
      <c r="D20" s="391">
        <v>0</v>
      </c>
      <c r="E20" s="391">
        <v>0</v>
      </c>
      <c r="F20" s="391">
        <v>0</v>
      </c>
      <c r="G20" s="393">
        <f t="shared" si="3"/>
        <v>0</v>
      </c>
      <c r="H20" s="391">
        <v>0</v>
      </c>
      <c r="I20" s="393">
        <f t="shared" si="4"/>
        <v>0</v>
      </c>
      <c r="U20" s="389">
        <v>8</v>
      </c>
      <c r="V20" s="388" t="s">
        <v>352</v>
      </c>
      <c r="W20" s="405"/>
      <c r="X20" s="394" t="e">
        <f>IF(AND(D20="",#REF!&lt;&gt;"*"),"",IF(AND(D20="",#REF!="*"),"Error 1.1",IF(D20="*","Warning 1.1",IF(ISNUMBER(D20)=FALSE,"Error 1.2",IF(D20&lt;0,"Error 1.3","")))))</f>
        <v>#REF!</v>
      </c>
      <c r="Y20" s="394" t="e">
        <f>IF(AND(E20="",#REF!&lt;&gt;"*"),"",IF(AND(E20="",#REF!="*"),"Error 1.1",IF(E20="*","Warning 1.1",IF(ISNUMBER(E20)=FALSE,"Error 1.2",IF(E20&lt;0,"Error 1.3","")))))</f>
        <v>#REF!</v>
      </c>
      <c r="Z20" s="394" t="e">
        <f>IF(AND(F20="",#REF!&lt;&gt;"*"),"",IF(AND(F20="",#REF!="*"),"Error 1.1",IF(F20="*","Warning 1.1",IF(ISNUMBER(F20)=FALSE,"Error 1.2",IF(F20&lt;0,"Error 1.3","")))))</f>
        <v>#REF!</v>
      </c>
      <c r="AA20" s="394">
        <f t="shared" si="0"/>
      </c>
      <c r="AB20" s="394" t="e">
        <f>IF(AND(H20="",#REF!&lt;&gt;"*"),"",IF(AND(H20="",#REF!="*"),"Error 1.1",IF(H20="*","Warning 1.1",IF(ISNUMBER(H20)=FALSE,"Error 1.2",IF(H20&lt;0,"Error 1.3","")))))</f>
        <v>#REF!</v>
      </c>
      <c r="AC20" s="394">
        <f t="shared" si="1"/>
      </c>
      <c r="AE20" s="338" t="e">
        <f t="shared" si="2"/>
        <v>#REF!</v>
      </c>
    </row>
    <row r="21" spans="1:31" ht="12.75" customHeight="1">
      <c r="A21" s="389">
        <v>9</v>
      </c>
      <c r="B21" s="388" t="s">
        <v>353</v>
      </c>
      <c r="C21" s="405"/>
      <c r="D21" s="391">
        <v>0</v>
      </c>
      <c r="E21" s="391">
        <v>0</v>
      </c>
      <c r="F21" s="391">
        <v>0</v>
      </c>
      <c r="G21" s="393">
        <f t="shared" si="3"/>
        <v>0</v>
      </c>
      <c r="H21" s="391">
        <v>0</v>
      </c>
      <c r="I21" s="393">
        <f t="shared" si="4"/>
        <v>0</v>
      </c>
      <c r="U21" s="389">
        <v>9</v>
      </c>
      <c r="V21" s="388" t="s">
        <v>353</v>
      </c>
      <c r="W21" s="405"/>
      <c r="X21" s="394" t="e">
        <f>IF(AND(D21="",#REF!&lt;&gt;"*"),"",IF(AND(D21="",#REF!="*"),"Error 1.1",IF(D21="*","Warning 1.1",IF(ISNUMBER(D21)=FALSE,"Error 1.2",IF(D21&lt;0,"Error 1.3","")))))</f>
        <v>#REF!</v>
      </c>
      <c r="Y21" s="394" t="e">
        <f>IF(AND(E21="",#REF!&lt;&gt;"*"),"",IF(AND(E21="",#REF!="*"),"Error 1.1",IF(E21="*","Warning 1.1",IF(ISNUMBER(E21)=FALSE,"Error 1.2",IF(E21&lt;0,"Error 1.3","")))))</f>
        <v>#REF!</v>
      </c>
      <c r="Z21" s="394" t="e">
        <f>IF(AND(F21="",#REF!&lt;&gt;"*"),"",IF(AND(F21="",#REF!="*"),"Error 1.1",IF(F21="*","Warning 1.1",IF(ISNUMBER(F21)=FALSE,"Error 1.2",IF(F21&lt;0,"Error 1.3","")))))</f>
        <v>#REF!</v>
      </c>
      <c r="AA21" s="394">
        <f t="shared" si="0"/>
      </c>
      <c r="AB21" s="394" t="e">
        <f>IF(AND(H21="",#REF!&lt;&gt;"*"),"",IF(AND(H21="",#REF!="*"),"Error 1.1",IF(H21="*","Warning 1.1",IF(ISNUMBER(H21)=FALSE,"Error 1.2",IF(H21&lt;0,"Error 1.3","")))))</f>
        <v>#REF!</v>
      </c>
      <c r="AC21" s="394">
        <f t="shared" si="1"/>
      </c>
      <c r="AE21" s="338" t="e">
        <f t="shared" si="2"/>
        <v>#REF!</v>
      </c>
    </row>
    <row r="22" spans="1:31" ht="12.75" customHeight="1">
      <c r="A22" s="389">
        <v>10</v>
      </c>
      <c r="B22" s="388" t="s">
        <v>354</v>
      </c>
      <c r="C22" s="405"/>
      <c r="D22" s="391">
        <v>0</v>
      </c>
      <c r="E22" s="391">
        <v>0</v>
      </c>
      <c r="F22" s="391">
        <v>124901</v>
      </c>
      <c r="G22" s="393">
        <f t="shared" si="3"/>
        <v>124901</v>
      </c>
      <c r="H22" s="391">
        <v>0</v>
      </c>
      <c r="I22" s="393">
        <f t="shared" si="4"/>
        <v>124901</v>
      </c>
      <c r="U22" s="389">
        <v>10</v>
      </c>
      <c r="V22" s="388" t="s">
        <v>354</v>
      </c>
      <c r="W22" s="405"/>
      <c r="X22" s="394" t="e">
        <f>IF(AND(D22="",#REF!&lt;&gt;"*"),"",IF(AND(D22="",#REF!="*"),"Error 1.1",IF(D22="*","Warning 1.1",IF(ISNUMBER(D22)=FALSE,"Error 1.2",IF(D22&lt;0,"Error 1.3","")))))</f>
        <v>#REF!</v>
      </c>
      <c r="Y22" s="394" t="e">
        <f>IF(AND(E22="",#REF!&lt;&gt;"*"),"",IF(AND(E22="",#REF!="*"),"Error 1.1",IF(E22="*","Warning 1.1",IF(ISNUMBER(E22)=FALSE,"Error 1.2",IF(E22&lt;0,"Error 1.3","")))))</f>
        <v>#REF!</v>
      </c>
      <c r="Z22" s="394" t="e">
        <f>IF(AND(F22="",#REF!&lt;&gt;"*"),"",IF(AND(F22="",#REF!="*"),"Error 1.1",IF(F22="*","Warning 1.1",IF(ISNUMBER(F22)=FALSE,"Error 1.2",IF(F22&lt;0,"Error 1.3","")))))</f>
        <v>#REF!</v>
      </c>
      <c r="AA22" s="394">
        <f t="shared" si="0"/>
      </c>
      <c r="AB22" s="394" t="e">
        <f>IF(AND(H22="",#REF!&lt;&gt;"*"),"",IF(AND(H22="",#REF!="*"),"Error 1.1",IF(H22="*","Warning 1.1",IF(ISNUMBER(H22)=FALSE,"Error 1.2",IF(H22&lt;0,"Error 1.3","")))))</f>
        <v>#REF!</v>
      </c>
      <c r="AC22" s="394">
        <f t="shared" si="1"/>
      </c>
      <c r="AE22" s="338" t="e">
        <f t="shared" si="2"/>
        <v>#REF!</v>
      </c>
    </row>
    <row r="23" spans="1:31" ht="12.75" customHeight="1">
      <c r="A23" s="389">
        <v>11</v>
      </c>
      <c r="B23" s="388" t="s">
        <v>355</v>
      </c>
      <c r="C23" s="405"/>
      <c r="D23" s="391">
        <v>0</v>
      </c>
      <c r="E23" s="391">
        <v>0</v>
      </c>
      <c r="F23" s="391">
        <v>267404</v>
      </c>
      <c r="G23" s="393">
        <f t="shared" si="3"/>
        <v>267404</v>
      </c>
      <c r="H23" s="391">
        <v>17500</v>
      </c>
      <c r="I23" s="393">
        <f t="shared" si="4"/>
        <v>249904</v>
      </c>
      <c r="U23" s="389">
        <v>11</v>
      </c>
      <c r="V23" s="388" t="s">
        <v>355</v>
      </c>
      <c r="W23" s="405"/>
      <c r="X23" s="394" t="e">
        <f>IF(AND(D23="",#REF!&lt;&gt;"*"),"",IF(AND(D23="",#REF!="*"),"Error 1.1",IF(D23="*","Warning 1.1",IF(ISNUMBER(D23)=FALSE,"Error 1.2",IF(D23&lt;0,"Error 1.3","")))))</f>
        <v>#REF!</v>
      </c>
      <c r="Y23" s="394" t="e">
        <f>IF(AND(E23="",#REF!&lt;&gt;"*"),"",IF(AND(E23="",#REF!="*"),"Error 1.1",IF(E23="*","Warning 1.1",IF(ISNUMBER(E23)=FALSE,"Error 1.2",IF(E23&lt;0,"Error 1.3","")))))</f>
        <v>#REF!</v>
      </c>
      <c r="Z23" s="394" t="e">
        <f>IF(AND(F23="",#REF!&lt;&gt;"*"),"",IF(AND(F23="",#REF!="*"),"Error 1.1",IF(F23="*","Warning 1.1",IF(ISNUMBER(F23)=FALSE,"Error 1.2",IF(F23&lt;0,"Error 1.3","")))))</f>
        <v>#REF!</v>
      </c>
      <c r="AA23" s="394">
        <f t="shared" si="0"/>
      </c>
      <c r="AB23" s="394" t="e">
        <f>IF(AND(H23="",#REF!&lt;&gt;"*"),"",IF(AND(H23="",#REF!="*"),"Error 1.1",IF(H23="*","Warning 1.1",IF(ISNUMBER(H23)=FALSE,"Error 1.2",IF(H23&lt;0,"Error 1.3","")))))</f>
        <v>#REF!</v>
      </c>
      <c r="AC23" s="394">
        <f t="shared" si="1"/>
      </c>
      <c r="AE23" s="338" t="e">
        <f t="shared" si="2"/>
        <v>#REF!</v>
      </c>
    </row>
    <row r="24" spans="1:31" ht="12.75" customHeight="1">
      <c r="A24" s="389">
        <v>12</v>
      </c>
      <c r="B24" s="388" t="s">
        <v>356</v>
      </c>
      <c r="C24" s="405"/>
      <c r="D24" s="391">
        <v>0</v>
      </c>
      <c r="E24" s="391">
        <v>0</v>
      </c>
      <c r="F24" s="391">
        <f>299592.87</f>
        <v>299592.87</v>
      </c>
      <c r="G24" s="393">
        <f t="shared" si="3"/>
        <v>299592.87</v>
      </c>
      <c r="H24" s="391">
        <v>25940</v>
      </c>
      <c r="I24" s="393">
        <f t="shared" si="4"/>
        <v>273652.87</v>
      </c>
      <c r="U24" s="389">
        <v>12</v>
      </c>
      <c r="V24" s="388" t="s">
        <v>356</v>
      </c>
      <c r="W24" s="405"/>
      <c r="X24" s="394" t="e">
        <f>IF(AND(D24="",#REF!&lt;&gt;"*"),"",IF(AND(D24="",#REF!="*"),"Error 1.1",IF(D24="*","Warning 1.1",IF(ISNUMBER(D24)=FALSE,"Error 1.2",IF(D24&lt;0,"Error 1.3","")))))</f>
        <v>#REF!</v>
      </c>
      <c r="Y24" s="394" t="e">
        <f>IF(AND(E24="",#REF!&lt;&gt;"*"),"",IF(AND(E24="",#REF!="*"),"Error 1.1",IF(E24="*","Warning 1.1",IF(ISNUMBER(E24)=FALSE,"Error 1.2",IF(E24&lt;0,"Error 1.3","")))))</f>
        <v>#REF!</v>
      </c>
      <c r="Z24" s="394" t="e">
        <f>IF(AND(F24="",#REF!&lt;&gt;"*"),"",IF(AND(F24="",#REF!="*"),"Error 1.1",IF(F24="*","Warning 1.1",IF(ISNUMBER(F24)=FALSE,"Error 1.2",IF(F24&lt;0,"Error 1.3","")))))</f>
        <v>#REF!</v>
      </c>
      <c r="AA24" s="394">
        <f t="shared" si="0"/>
      </c>
      <c r="AB24" s="394" t="e">
        <f>IF(AND(H24="",#REF!&lt;&gt;"*"),"",IF(AND(H24="",#REF!="*"),"Error 1.1",IF(H24="*","Warning 1.1",IF(ISNUMBER(H24)=FALSE,"Error 1.2",IF(H24&lt;0,"Error 1.3","")))))</f>
        <v>#REF!</v>
      </c>
      <c r="AC24" s="394">
        <f t="shared" si="1"/>
      </c>
      <c r="AE24" s="338" t="e">
        <f t="shared" si="2"/>
        <v>#REF!</v>
      </c>
    </row>
    <row r="25" spans="1:31" ht="12.75" customHeight="1" thickBot="1">
      <c r="A25" s="389">
        <v>13</v>
      </c>
      <c r="B25" s="388" t="s">
        <v>357</v>
      </c>
      <c r="C25" s="405"/>
      <c r="D25" s="391">
        <v>0</v>
      </c>
      <c r="E25" s="391">
        <v>0</v>
      </c>
      <c r="F25" s="391">
        <v>937237</v>
      </c>
      <c r="G25" s="395">
        <f>SUM(D25:F25)</f>
        <v>937237</v>
      </c>
      <c r="H25" s="391">
        <v>0</v>
      </c>
      <c r="I25" s="393">
        <f t="shared" si="4"/>
        <v>937237</v>
      </c>
      <c r="U25" s="389">
        <v>13</v>
      </c>
      <c r="V25" s="388" t="s">
        <v>357</v>
      </c>
      <c r="W25" s="405"/>
      <c r="X25" s="394" t="e">
        <f>IF(AND(D25="",#REF!&lt;&gt;"*"),"",IF(AND(D25="",#REF!="*"),"Error 1.1",IF(D25="*","Warning 1.1",IF(ISNUMBER(D25)=FALSE,"Error 1.2",IF(D25&lt;0,"Error 1.3","")))))</f>
        <v>#REF!</v>
      </c>
      <c r="Y25" s="394" t="e">
        <f>IF(AND(E25="",#REF!&lt;&gt;"*"),"",IF(AND(E25="",#REF!="*"),"Error 1.1",IF(E25="*","Warning 1.1",IF(ISNUMBER(E25)=FALSE,"Error 1.2",IF(E25&lt;0,"Error 1.3","")))))</f>
        <v>#REF!</v>
      </c>
      <c r="Z25" s="394" t="e">
        <f>IF(AND(F25="",#REF!&lt;&gt;"*"),"",IF(AND(F25="",#REF!="*"),"Error 1.1",IF(F25="*","Warning 1.1",IF(ISNUMBER(F25)=FALSE,"Error 1.2",IF(F25&lt;0,"Error 1.3","")))))</f>
        <v>#REF!</v>
      </c>
      <c r="AA25" s="394">
        <f t="shared" si="0"/>
      </c>
      <c r="AB25" s="394" t="e">
        <f>IF(AND(H25="",#REF!&lt;&gt;"*"),"",IF(AND(H25="",#REF!="*"),"Error 1.1",IF(H25="*","Warning 1.1",IF(ISNUMBER(H25)=FALSE,"Error 1.2",IF(H25&lt;0,"Error 1.3","")))))</f>
        <v>#REF!</v>
      </c>
      <c r="AC25" s="394">
        <f t="shared" si="1"/>
      </c>
      <c r="AE25" s="338" t="e">
        <f t="shared" si="2"/>
        <v>#REF!</v>
      </c>
    </row>
    <row r="26" spans="1:31" ht="12.75" customHeight="1" thickBot="1">
      <c r="A26" s="406">
        <v>14</v>
      </c>
      <c r="B26" s="387" t="s">
        <v>358</v>
      </c>
      <c r="C26" s="388"/>
      <c r="D26" s="407">
        <f>SUM(D17:D25)</f>
        <v>0</v>
      </c>
      <c r="E26" s="407">
        <f>SUM(E17:E25)</f>
        <v>0</v>
      </c>
      <c r="F26" s="407">
        <f>SUM(F17:F25)</f>
        <v>20126254.09</v>
      </c>
      <c r="G26" s="397">
        <f>SUM(D26:F26)</f>
        <v>20126254.09</v>
      </c>
      <c r="H26" s="397">
        <f>SUM(H17:H25)</f>
        <v>5944631.9399999995</v>
      </c>
      <c r="I26" s="397">
        <f>G26-H26</f>
        <v>14181622.15</v>
      </c>
      <c r="U26" s="406">
        <v>14</v>
      </c>
      <c r="V26" s="387" t="s">
        <v>358</v>
      </c>
      <c r="W26" s="388"/>
      <c r="X26" s="394" t="e">
        <f>IF(AND(D26="",#REF!&lt;&gt;"*"),"",IF(AND(D26="",#REF!="*"),"Error 1.1",IF(D26="*","Warning 1.1",IF(ISNUMBER(D26)=FALSE,"Error 1.2",IF(D26&lt;0,"Error 1.3","")))))</f>
        <v>#REF!</v>
      </c>
      <c r="Y26" s="394" t="e">
        <f>IF(AND(E26="",#REF!&lt;&gt;"*"),"",IF(AND(E26="",#REF!="*"),"Error 1.1",IF(E26="*","Warning 1.1",IF(ISNUMBER(E26)=FALSE,"Error 1.2",IF(E26&lt;0,"Error 1.3","")))))</f>
        <v>#REF!</v>
      </c>
      <c r="Z26" s="394" t="e">
        <f>IF(AND(F26="",#REF!&lt;&gt;"*"),"",IF(AND(F26="",#REF!="*"),"Error 1.1",IF(F26="*","Warning 1.1",IF(ISNUMBER(F26)=FALSE,"Error 1.2",IF(F26&lt;0,"Error 1.3","")))))</f>
        <v>#REF!</v>
      </c>
      <c r="AA26" s="394">
        <f t="shared" si="0"/>
      </c>
      <c r="AB26" s="394" t="e">
        <f>IF(AND(H26="",#REF!&lt;&gt;"*"),"",IF(AND(H26="",#REF!="*"),"Error 1.1",IF(H26="*","Warning 1.1",IF(ISNUMBER(H26)=FALSE,"Error 1.2",IF(H26&lt;0,"Error 1.3","")))))</f>
        <v>#REF!</v>
      </c>
      <c r="AC26" s="394">
        <f t="shared" si="1"/>
      </c>
      <c r="AE26" s="338" t="e">
        <f t="shared" si="2"/>
        <v>#REF!</v>
      </c>
    </row>
    <row r="27" spans="1:29" ht="12.75" customHeight="1">
      <c r="A27" s="388"/>
      <c r="B27" s="388"/>
      <c r="C27" s="388"/>
      <c r="D27" s="408"/>
      <c r="E27" s="408"/>
      <c r="F27" s="408"/>
      <c r="G27" s="408"/>
      <c r="H27" s="408"/>
      <c r="I27" s="402"/>
      <c r="U27" s="388"/>
      <c r="V27" s="388"/>
      <c r="W27" s="388"/>
      <c r="X27" s="409"/>
      <c r="Y27" s="409"/>
      <c r="Z27" s="409"/>
      <c r="AA27" s="409"/>
      <c r="AB27" s="409"/>
      <c r="AC27" s="409"/>
    </row>
    <row r="28" spans="1:29" ht="12.75" customHeight="1">
      <c r="A28" s="388"/>
      <c r="B28" s="388"/>
      <c r="C28" s="388"/>
      <c r="D28" s="408"/>
      <c r="E28" s="408"/>
      <c r="F28" s="408"/>
      <c r="G28" s="408"/>
      <c r="H28" s="408"/>
      <c r="I28" s="402"/>
      <c r="U28" s="388"/>
      <c r="V28" s="388"/>
      <c r="W28" s="388"/>
      <c r="X28" s="410"/>
      <c r="Y28" s="410"/>
      <c r="Z28" s="410"/>
      <c r="AA28" s="410"/>
      <c r="AB28" s="410"/>
      <c r="AC28" s="410"/>
    </row>
    <row r="29" spans="1:31" ht="12.75" customHeight="1">
      <c r="A29" s="411" t="s">
        <v>359</v>
      </c>
      <c r="B29" s="388"/>
      <c r="C29" s="388"/>
      <c r="D29" s="408"/>
      <c r="E29" s="408"/>
      <c r="F29" s="408"/>
      <c r="G29" s="408"/>
      <c r="H29" s="408"/>
      <c r="I29" s="412"/>
      <c r="U29" s="411" t="s">
        <v>359</v>
      </c>
      <c r="V29" s="388"/>
      <c r="W29" s="388"/>
      <c r="X29" s="404"/>
      <c r="Y29" s="404"/>
      <c r="Z29" s="404"/>
      <c r="AA29" s="404"/>
      <c r="AB29" s="404"/>
      <c r="AC29" s="404"/>
      <c r="AE29" s="338">
        <f t="shared" si="2"/>
        <v>0</v>
      </c>
    </row>
    <row r="30" spans="1:31" ht="12.75" customHeight="1">
      <c r="A30" s="406">
        <v>15</v>
      </c>
      <c r="B30" s="388" t="s">
        <v>360</v>
      </c>
      <c r="C30" s="388"/>
      <c r="D30" s="391">
        <v>0</v>
      </c>
      <c r="E30" s="391">
        <v>0</v>
      </c>
      <c r="F30" s="391">
        <v>100270.93</v>
      </c>
      <c r="G30" s="393">
        <f>SUM(D30:F30)</f>
        <v>100270.93</v>
      </c>
      <c r="H30" s="391">
        <v>51000</v>
      </c>
      <c r="I30" s="393">
        <f>G30-H30</f>
        <v>49270.92999999999</v>
      </c>
      <c r="U30" s="406">
        <v>15</v>
      </c>
      <c r="V30" s="388" t="s">
        <v>360</v>
      </c>
      <c r="W30" s="388"/>
      <c r="X30" s="394" t="e">
        <f>IF(AND(D30="",#REF!&lt;&gt;"*"),"",IF(AND(D30="",#REF!="*"),"Error 1.1",IF(D30="*","Warning 1.1",IF(ISNUMBER(D30)=FALSE,"Error 1.2",IF(D30&lt;0,"Error 1.3","")))))</f>
        <v>#REF!</v>
      </c>
      <c r="Y30" s="394" t="e">
        <f>IF(AND(E30="",#REF!&lt;&gt;"*"),"",IF(AND(E30="",#REF!="*"),"Error 1.1",IF(E30="*","Warning 1.1",IF(ISNUMBER(E30)=FALSE,"Error 1.2",IF(E30&lt;0,"Error 1.3","")))))</f>
        <v>#REF!</v>
      </c>
      <c r="Z30" s="394" t="e">
        <f>IF(AND(F30="",#REF!&lt;&gt;"*"),"",IF(AND(F30="",#REF!="*"),"Error 1.1",IF(F30="*","Warning 1.1",IF(ISNUMBER(F30)=FALSE,"Error 1.2",IF(F30&lt;0,"Error 1.3","")))))</f>
        <v>#REF!</v>
      </c>
      <c r="AA30" s="394">
        <f t="shared" si="0"/>
      </c>
      <c r="AB30" s="394" t="e">
        <f>IF(AND(H30="",#REF!&lt;&gt;"*"),"",IF(AND(H30="",#REF!="*"),"Error 1.1",IF(H30="*","Warning 1.1",IF(ISNUMBER(H30)=FALSE,"Error 1.2",IF(H30&lt;0,"Error 1.3","")))))</f>
        <v>#REF!</v>
      </c>
      <c r="AC30" s="394">
        <f t="shared" si="1"/>
      </c>
      <c r="AE30" s="338" t="e">
        <f t="shared" si="2"/>
        <v>#REF!</v>
      </c>
    </row>
    <row r="31" spans="1:31" ht="12.75" customHeight="1">
      <c r="A31" s="406">
        <v>16</v>
      </c>
      <c r="B31" s="388" t="s">
        <v>361</v>
      </c>
      <c r="C31" s="388"/>
      <c r="D31" s="391">
        <v>0</v>
      </c>
      <c r="E31" s="391">
        <v>0</v>
      </c>
      <c r="F31" s="391">
        <v>347123</v>
      </c>
      <c r="G31" s="393">
        <f>SUM(D31:F31)</f>
        <v>347123</v>
      </c>
      <c r="H31" s="391">
        <v>0</v>
      </c>
      <c r="I31" s="393">
        <f>G31-H31</f>
        <v>347123</v>
      </c>
      <c r="U31" s="406">
        <v>16</v>
      </c>
      <c r="V31" s="388" t="s">
        <v>362</v>
      </c>
      <c r="W31" s="388"/>
      <c r="X31" s="394" t="e">
        <f>IF(AND(D31="",#REF!&lt;&gt;"*"),"",IF(AND(D31="",#REF!="*"),"Error 1.1",IF(D31="*","Warning 1.1",IF(ISNUMBER(D31)=FALSE,"Error 1.2",IF(D31&lt;0,"Error 1.3","")))))</f>
        <v>#REF!</v>
      </c>
      <c r="Y31" s="394" t="e">
        <f>IF(AND(E31="",#REF!&lt;&gt;"*"),"",IF(AND(E31="",#REF!="*"),"Error 1.1",IF(E31="*","Warning 1.1",IF(ISNUMBER(E31)=FALSE,"Error 1.2",IF(E31&lt;0,"Error 1.3","")))))</f>
        <v>#REF!</v>
      </c>
      <c r="Z31" s="394" t="e">
        <f>IF(AND(F31="",#REF!&lt;&gt;"*"),"",IF(AND(F31="",#REF!="*"),"Error 1.1",IF(F31="*","Warning 1.1",IF(ISNUMBER(F31)=FALSE,"Error 1.2",IF(F31&lt;0,"Error 1.3","")))))</f>
        <v>#REF!</v>
      </c>
      <c r="AA31" s="394">
        <f t="shared" si="0"/>
      </c>
      <c r="AB31" s="394" t="e">
        <f>IF(AND(H31="",#REF!&lt;&gt;"*"),"",IF(AND(H31="",#REF!="*"),"Error 1.1",IF(H31="*","Warning 1.1",IF(ISNUMBER(H31)=FALSE,"Error 1.2",IF(H31&lt;0,"Error 1.3","")))))</f>
        <v>#REF!</v>
      </c>
      <c r="AC31" s="394">
        <f t="shared" si="1"/>
      </c>
      <c r="AE31" s="338" t="e">
        <f t="shared" si="2"/>
        <v>#REF!</v>
      </c>
    </row>
    <row r="32" spans="1:31" ht="12" customHeight="1">
      <c r="A32" s="406">
        <v>17</v>
      </c>
      <c r="B32" s="388" t="s">
        <v>363</v>
      </c>
      <c r="C32" s="388"/>
      <c r="D32" s="391">
        <v>0</v>
      </c>
      <c r="E32" s="391">
        <v>0</v>
      </c>
      <c r="F32" s="391">
        <v>983440</v>
      </c>
      <c r="G32" s="393">
        <f>SUM(D32:F32)</f>
        <v>983440</v>
      </c>
      <c r="H32" s="391">
        <v>22760</v>
      </c>
      <c r="I32" s="393">
        <f>G32-H32</f>
        <v>960680</v>
      </c>
      <c r="U32" s="406">
        <v>17</v>
      </c>
      <c r="V32" s="388" t="s">
        <v>363</v>
      </c>
      <c r="W32" s="388"/>
      <c r="X32" s="394" t="e">
        <f>IF(AND(D32="",#REF!&lt;&gt;"*"),"",IF(AND(D32="",#REF!="*"),"Error 1.1",IF(D32="*","Warning 1.1",IF(ISNUMBER(D32)=FALSE,"Error 1.2",IF(D32&lt;0,"Error 1.3","")))))</f>
        <v>#REF!</v>
      </c>
      <c r="Y32" s="394" t="e">
        <f>IF(AND(E32="",#REF!&lt;&gt;"*"),"",IF(AND(E32="",#REF!="*"),"Error 1.1",IF(E32="*","Warning 1.1",IF(ISNUMBER(E32)=FALSE,"Error 1.2",IF(E32&lt;0,"Error 1.3","")))))</f>
        <v>#REF!</v>
      </c>
      <c r="Z32" s="394" t="e">
        <f>IF(AND(F32="",#REF!&lt;&gt;"*"),"",IF(AND(F32="",#REF!="*"),"Error 1.1",IF(F32="*","Warning 1.1",IF(ISNUMBER(F32)=FALSE,"Error 1.2",IF(F32&lt;0,"Error 1.3","")))))</f>
        <v>#REF!</v>
      </c>
      <c r="AA32" s="394">
        <f t="shared" si="0"/>
      </c>
      <c r="AB32" s="394" t="e">
        <f>IF(AND(H32="",#REF!&lt;&gt;"*"),"",IF(AND(H32="",#REF!="*"),"Error 1.1",IF(H32="*","Warning 1.1",IF(ISNUMBER(H32)=FALSE,"Error 1.2",IF(H32&lt;0,"Error 1.3","")))))</f>
        <v>#REF!</v>
      </c>
      <c r="AC32" s="394">
        <f t="shared" si="1"/>
      </c>
      <c r="AE32" s="338" t="e">
        <f t="shared" si="2"/>
        <v>#REF!</v>
      </c>
    </row>
    <row r="33" spans="1:31" ht="11.25" customHeight="1" thickBot="1">
      <c r="A33" s="406">
        <v>18</v>
      </c>
      <c r="B33" s="388" t="s">
        <v>364</v>
      </c>
      <c r="C33" s="388"/>
      <c r="D33" s="391">
        <v>0</v>
      </c>
      <c r="E33" s="391">
        <v>0</v>
      </c>
      <c r="F33" s="391">
        <v>119772</v>
      </c>
      <c r="G33" s="393">
        <f>SUM(D33:F33)</f>
        <v>119772</v>
      </c>
      <c r="H33" s="391">
        <v>71541</v>
      </c>
      <c r="I33" s="395">
        <f>G33-H33</f>
        <v>48231</v>
      </c>
      <c r="U33" s="406">
        <v>18</v>
      </c>
      <c r="V33" s="388" t="s">
        <v>364</v>
      </c>
      <c r="W33" s="388"/>
      <c r="X33" s="394" t="e">
        <f>IF(AND(D33="",#REF!&lt;&gt;"*"),"",IF(AND(D33="",#REF!="*"),"Error 1.1",IF(D33="*","Warning 1.1",IF(ISNUMBER(D33)=FALSE,"Error 1.2",IF(D33&lt;0,"Error 1.3","")))))</f>
        <v>#REF!</v>
      </c>
      <c r="Y33" s="394" t="e">
        <f>IF(AND(E33="",#REF!&lt;&gt;"*"),"",IF(AND(E33="",#REF!="*"),"Error 1.1",IF(E33="*","Warning 1.1",IF(ISNUMBER(E33)=FALSE,"Error 1.2",IF(E33&lt;0,"Error 1.3","")))))</f>
        <v>#REF!</v>
      </c>
      <c r="Z33" s="394" t="e">
        <f>IF(AND(F33="",#REF!&lt;&gt;"*"),"",IF(AND(F33="",#REF!="*"),"Error 1.1",IF(F33="*","Warning 1.1",IF(ISNUMBER(F33)=FALSE,"Error 1.2",IF(F33&lt;0,"Error 1.3","")))))</f>
        <v>#REF!</v>
      </c>
      <c r="AA33" s="394">
        <f t="shared" si="0"/>
      </c>
      <c r="AB33" s="394" t="e">
        <f>IF(AND(H33="",#REF!&lt;&gt;"*"),"",IF(AND(H33="",#REF!="*"),"Error 1.1",IF(H33="*","Warning 1.1",IF(ISNUMBER(H33)=FALSE,"Error 1.2",IF(H33&lt;0,"Error 1.3","")))))</f>
        <v>#REF!</v>
      </c>
      <c r="AC33" s="394">
        <f t="shared" si="1"/>
      </c>
      <c r="AE33" s="338" t="e">
        <f t="shared" si="2"/>
        <v>#REF!</v>
      </c>
    </row>
    <row r="34" spans="1:31" ht="12.75" customHeight="1" thickBot="1">
      <c r="A34" s="406">
        <v>19</v>
      </c>
      <c r="B34" s="387" t="s">
        <v>365</v>
      </c>
      <c r="C34" s="388"/>
      <c r="D34" s="396">
        <f>SUM(D30:D33)</f>
        <v>0</v>
      </c>
      <c r="E34" s="396">
        <f>SUM(E30:E33)</f>
        <v>0</v>
      </c>
      <c r="F34" s="396">
        <f>SUM(F30:F33)</f>
        <v>1550605.93</v>
      </c>
      <c r="G34" s="396">
        <f>SUM(G30:G33)</f>
        <v>1550605.93</v>
      </c>
      <c r="H34" s="396">
        <f>SUM(H30:H33)</f>
        <v>145301</v>
      </c>
      <c r="I34" s="397">
        <f>G34-H34</f>
        <v>1405304.93</v>
      </c>
      <c r="U34" s="406">
        <v>19</v>
      </c>
      <c r="V34" s="387" t="s">
        <v>365</v>
      </c>
      <c r="W34" s="388"/>
      <c r="X34" s="394" t="e">
        <f>IF(AND(D34="",#REF!&lt;&gt;"*"),"",IF(AND(D34="",#REF!="*"),"Error 1.1",IF(D34="*","Warning 1.1",IF(ISNUMBER(D34)=FALSE,"Error 1.2",IF(D34&lt;0,"Error 1.3","")))))</f>
        <v>#REF!</v>
      </c>
      <c r="Y34" s="394" t="e">
        <f>IF(AND(E34="",#REF!&lt;&gt;"*"),"",IF(AND(E34="",#REF!="*"),"Error 1.1",IF(E34="*","Warning 1.1",IF(ISNUMBER(E34)=FALSE,"Error 1.2",IF(E34&lt;0,"Error 1.3","")))))</f>
        <v>#REF!</v>
      </c>
      <c r="Z34" s="394" t="e">
        <f>IF(AND(F34="",#REF!&lt;&gt;"*"),"",IF(AND(F34="",#REF!="*"),"Error 1.1",IF(F34="*","Warning 1.1",IF(ISNUMBER(F34)=FALSE,"Error 1.2",IF(F34&lt;0,"Error 1.3","")))))</f>
        <v>#REF!</v>
      </c>
      <c r="AA34" s="394">
        <f t="shared" si="0"/>
      </c>
      <c r="AB34" s="394" t="e">
        <f>IF(AND(H34="",#REF!&lt;&gt;"*"),"",IF(AND(H34="",#REF!="*"),"Error 1.1",IF(H34="*","Warning 1.1",IF(ISNUMBER(H34)=FALSE,"Error 1.2",IF(H34&lt;0,"Error 1.3","")))))</f>
        <v>#REF!</v>
      </c>
      <c r="AC34" s="394">
        <f t="shared" si="1"/>
      </c>
      <c r="AE34" s="338" t="e">
        <f t="shared" si="2"/>
        <v>#REF!</v>
      </c>
    </row>
    <row r="35" spans="1:29" ht="11.25">
      <c r="A35" s="388"/>
      <c r="B35" s="388"/>
      <c r="C35" s="388"/>
      <c r="D35" s="408"/>
      <c r="E35" s="408"/>
      <c r="F35" s="408"/>
      <c r="G35" s="413"/>
      <c r="H35" s="403"/>
      <c r="I35" s="402"/>
      <c r="U35" s="388"/>
      <c r="V35" s="388"/>
      <c r="W35" s="388"/>
      <c r="X35" s="401"/>
      <c r="Y35" s="401"/>
      <c r="Z35" s="401"/>
      <c r="AA35" s="401"/>
      <c r="AB35" s="401"/>
      <c r="AC35" s="401"/>
    </row>
    <row r="36" spans="1:31" ht="11.25">
      <c r="A36" s="411" t="s">
        <v>366</v>
      </c>
      <c r="B36" s="388"/>
      <c r="C36" s="388"/>
      <c r="D36" s="408"/>
      <c r="E36" s="408"/>
      <c r="F36" s="408"/>
      <c r="G36" s="412"/>
      <c r="H36" s="414"/>
      <c r="I36" s="412"/>
      <c r="U36" s="411" t="s">
        <v>366</v>
      </c>
      <c r="V36" s="388"/>
      <c r="W36" s="388"/>
      <c r="X36" s="404"/>
      <c r="Y36" s="404"/>
      <c r="Z36" s="404"/>
      <c r="AA36" s="404"/>
      <c r="AB36" s="404"/>
      <c r="AC36" s="404"/>
      <c r="AE36" s="338">
        <f t="shared" si="2"/>
        <v>0</v>
      </c>
    </row>
    <row r="37" spans="1:31" ht="12" customHeight="1">
      <c r="A37" s="406">
        <v>20</v>
      </c>
      <c r="B37" s="388" t="s">
        <v>367</v>
      </c>
      <c r="C37" s="388"/>
      <c r="D37" s="391">
        <v>0</v>
      </c>
      <c r="E37" s="391">
        <v>0</v>
      </c>
      <c r="F37" s="391">
        <v>363258</v>
      </c>
      <c r="G37" s="393">
        <f aca="true" t="shared" si="5" ref="G37:G45">SUM(D37:F37)</f>
        <v>363258</v>
      </c>
      <c r="H37" s="391">
        <v>50000</v>
      </c>
      <c r="I37" s="393">
        <f>G37-H37</f>
        <v>313258</v>
      </c>
      <c r="U37" s="406">
        <v>20</v>
      </c>
      <c r="V37" s="388" t="s">
        <v>367</v>
      </c>
      <c r="W37" s="388"/>
      <c r="X37" s="394" t="e">
        <f>IF(AND(D37="",#REF!&lt;&gt;"*"),"",IF(AND(D37="",#REF!="*"),"Error 1.1",IF(D37="*","Warning 1.1",IF(ISNUMBER(D37)=FALSE,"Error 1.2",IF(D37&lt;0,"Error 1.3","")))))</f>
        <v>#REF!</v>
      </c>
      <c r="Y37" s="394" t="e">
        <f>IF(AND(E37="",#REF!&lt;&gt;"*"),"",IF(AND(E37="",#REF!="*"),"Error 1.1",IF(E37="*","Warning 1.1",IF(ISNUMBER(E37)=FALSE,"Error 1.2",IF(E37&lt;0,"Error 1.3","")))))</f>
        <v>#REF!</v>
      </c>
      <c r="Z37" s="394" t="e">
        <f>IF(AND(F37="",#REF!&lt;&gt;"*"),"",IF(AND(F37="",#REF!="*"),"Error 1.1",IF(F37="*","Warning 1.1",IF(ISNUMBER(F37)=FALSE,"Error 1.2",IF(F37&lt;0,"Error 1.3","")))))</f>
        <v>#REF!</v>
      </c>
      <c r="AA37" s="394">
        <f t="shared" si="0"/>
      </c>
      <c r="AB37" s="394" t="e">
        <f>IF(AND(H37="",#REF!&lt;&gt;"*"),"",IF(AND(H37="",#REF!="*"),"Error 1.1",IF(H37="*","Warning 1.1",IF(ISNUMBER(H37)=FALSE,"Error 1.2",IF(H37&lt;0,"Error 1.3","")))))</f>
        <v>#REF!</v>
      </c>
      <c r="AC37" s="394">
        <f t="shared" si="1"/>
      </c>
      <c r="AE37" s="338" t="e">
        <f t="shared" si="2"/>
        <v>#REF!</v>
      </c>
    </row>
    <row r="38" spans="1:31" ht="12.75" customHeight="1">
      <c r="A38" s="406">
        <v>21</v>
      </c>
      <c r="B38" s="388" t="s">
        <v>368</v>
      </c>
      <c r="C38" s="388"/>
      <c r="D38" s="391">
        <v>0</v>
      </c>
      <c r="E38" s="391">
        <v>0</v>
      </c>
      <c r="F38" s="391">
        <v>989592</v>
      </c>
      <c r="G38" s="393">
        <f t="shared" si="5"/>
        <v>989592</v>
      </c>
      <c r="H38" s="391">
        <v>135920</v>
      </c>
      <c r="I38" s="393">
        <f aca="true" t="shared" si="6" ref="I38:I44">G38-H38</f>
        <v>853672</v>
      </c>
      <c r="U38" s="406">
        <v>21</v>
      </c>
      <c r="V38" s="388" t="s">
        <v>368</v>
      </c>
      <c r="W38" s="388"/>
      <c r="X38" s="394" t="e">
        <f>IF(AND(D38="",#REF!&lt;&gt;"*"),"",IF(AND(D38="",#REF!="*"),"Error 1.1",IF(D38="*","Warning 1.1",IF(ISNUMBER(D38)=FALSE,"Error 1.2",IF(D38&lt;0,"Error 1.3","")))))</f>
        <v>#REF!</v>
      </c>
      <c r="Y38" s="394" t="e">
        <f>IF(AND(E38="",#REF!&lt;&gt;"*"),"",IF(AND(E38="",#REF!="*"),"Error 1.1",IF(E38="*","Warning 1.1",IF(ISNUMBER(E38)=FALSE,"Error 1.2",IF(E38&lt;0,"Error 1.3","")))))</f>
        <v>#REF!</v>
      </c>
      <c r="Z38" s="394" t="e">
        <f>IF(AND(F38="",#REF!&lt;&gt;"*"),"",IF(AND(F38="",#REF!="*"),"Error 1.1",IF(F38="*","Warning 1.1",IF(ISNUMBER(F38)=FALSE,"Error 1.2",IF(F38&lt;0,"Error 1.3","")))))</f>
        <v>#REF!</v>
      </c>
      <c r="AA38" s="394">
        <f t="shared" si="0"/>
      </c>
      <c r="AB38" s="394" t="e">
        <f>IF(AND(H38="",#REF!&lt;&gt;"*"),"",IF(AND(H38="",#REF!="*"),"Error 1.1",IF(H38="*","Warning 1.1",IF(ISNUMBER(H38)=FALSE,"Error 1.2",IF(H38&lt;0,"Error 1.3","")))))</f>
        <v>#REF!</v>
      </c>
      <c r="AC38" s="394">
        <f t="shared" si="1"/>
      </c>
      <c r="AE38" s="338" t="e">
        <f t="shared" si="2"/>
        <v>#REF!</v>
      </c>
    </row>
    <row r="39" spans="1:31" ht="12.75" customHeight="1">
      <c r="A39" s="406">
        <v>22</v>
      </c>
      <c r="B39" s="388" t="s">
        <v>369</v>
      </c>
      <c r="C39" s="388"/>
      <c r="D39" s="391">
        <v>0</v>
      </c>
      <c r="E39" s="391">
        <v>0</v>
      </c>
      <c r="F39" s="391">
        <v>157595</v>
      </c>
      <c r="G39" s="393">
        <f t="shared" si="5"/>
        <v>157595</v>
      </c>
      <c r="H39" s="391">
        <v>113860</v>
      </c>
      <c r="I39" s="393">
        <f t="shared" si="6"/>
        <v>43735</v>
      </c>
      <c r="U39" s="406">
        <v>22</v>
      </c>
      <c r="V39" s="388" t="s">
        <v>369</v>
      </c>
      <c r="W39" s="388"/>
      <c r="X39" s="394" t="e">
        <f>IF(AND(D39="",#REF!&lt;&gt;"*"),"",IF(AND(D39="",#REF!="*"),"Error 1.1",IF(D39="*","Warning 1.1",IF(ISNUMBER(D39)=FALSE,"Error 1.2",IF(D39&lt;0,"Error 1.3","")))))</f>
        <v>#REF!</v>
      </c>
      <c r="Y39" s="394" t="e">
        <f>IF(AND(E39="",#REF!&lt;&gt;"*"),"",IF(AND(E39="",#REF!="*"),"Error 1.1",IF(E39="*","Warning 1.1",IF(ISNUMBER(E39)=FALSE,"Error 1.2",IF(E39&lt;0,"Error 1.3","")))))</f>
        <v>#REF!</v>
      </c>
      <c r="Z39" s="394" t="e">
        <f>IF(AND(F39="",#REF!&lt;&gt;"*"),"",IF(AND(F39="",#REF!="*"),"Error 1.1",IF(F39="*","Warning 1.1",IF(ISNUMBER(F39)=FALSE,"Error 1.2",IF(F39&lt;0,"Error 1.3","")))))</f>
        <v>#REF!</v>
      </c>
      <c r="AA39" s="394">
        <f t="shared" si="0"/>
      </c>
      <c r="AB39" s="394" t="e">
        <f>IF(AND(H39="",#REF!&lt;&gt;"*"),"",IF(AND(H39="",#REF!="*"),"Error 1.1",IF(H39="*","Warning 1.1",IF(ISNUMBER(H39)=FALSE,"Error 1.2",IF(H39&lt;0,"Error 1.3","")))))</f>
        <v>#REF!</v>
      </c>
      <c r="AC39" s="394">
        <f t="shared" si="1"/>
      </c>
      <c r="AE39" s="338" t="e">
        <f t="shared" si="2"/>
        <v>#REF!</v>
      </c>
    </row>
    <row r="40" spans="1:31" ht="12.75" customHeight="1">
      <c r="A40" s="406">
        <v>23</v>
      </c>
      <c r="B40" s="388" t="s">
        <v>370</v>
      </c>
      <c r="C40" s="388"/>
      <c r="D40" s="391">
        <v>0</v>
      </c>
      <c r="E40" s="391">
        <v>0</v>
      </c>
      <c r="F40" s="391">
        <v>37860</v>
      </c>
      <c r="G40" s="393">
        <f t="shared" si="5"/>
        <v>37860</v>
      </c>
      <c r="H40" s="391">
        <v>0</v>
      </c>
      <c r="I40" s="393">
        <f t="shared" si="6"/>
        <v>37860</v>
      </c>
      <c r="U40" s="406">
        <v>23</v>
      </c>
      <c r="V40" s="388" t="s">
        <v>370</v>
      </c>
      <c r="W40" s="388"/>
      <c r="X40" s="394" t="e">
        <f>IF(AND(D40="",#REF!&lt;&gt;"*"),"",IF(AND(D40="",#REF!="*"),"Error 1.1",IF(D40="*","Warning 1.1",IF(ISNUMBER(D40)=FALSE,"Error 1.2",IF(D40&lt;0,"Error 1.3","")))))</f>
        <v>#REF!</v>
      </c>
      <c r="Y40" s="394" t="e">
        <f>IF(AND(E40="",#REF!&lt;&gt;"*"),"",IF(AND(E40="",#REF!="*"),"Error 1.1",IF(E40="*","Warning 1.1",IF(ISNUMBER(E40)=FALSE,"Error 1.2",IF(E40&lt;0,"Error 1.3","")))))</f>
        <v>#REF!</v>
      </c>
      <c r="Z40" s="394" t="e">
        <f>IF(AND(F40="",#REF!&lt;&gt;"*"),"",IF(AND(F40="",#REF!="*"),"Error 1.1",IF(F40="*","Warning 1.1",IF(ISNUMBER(F40)=FALSE,"Error 1.2",IF(F40&lt;0,"Error 1.3","")))))</f>
        <v>#REF!</v>
      </c>
      <c r="AA40" s="394">
        <f t="shared" si="0"/>
      </c>
      <c r="AB40" s="394" t="e">
        <f>IF(AND(H40="",#REF!&lt;&gt;"*"),"",IF(AND(H40="",#REF!="*"),"Error 1.1",IF(H40="*","Warning 1.1",IF(ISNUMBER(H40)=FALSE,"Error 1.2",IF(H40&lt;0,"Error 1.3","")))))</f>
        <v>#REF!</v>
      </c>
      <c r="AC40" s="394">
        <f t="shared" si="1"/>
      </c>
      <c r="AE40" s="338" t="e">
        <f t="shared" si="2"/>
        <v>#REF!</v>
      </c>
    </row>
    <row r="41" spans="1:31" ht="12.75" customHeight="1">
      <c r="A41" s="406">
        <v>24</v>
      </c>
      <c r="B41" s="388" t="s">
        <v>371</v>
      </c>
      <c r="C41" s="388"/>
      <c r="D41" s="391">
        <v>0</v>
      </c>
      <c r="E41" s="391">
        <v>0</v>
      </c>
      <c r="F41" s="391">
        <f>472724+197966.5</f>
        <v>670690.5</v>
      </c>
      <c r="G41" s="393">
        <f t="shared" si="5"/>
        <v>670690.5</v>
      </c>
      <c r="H41" s="391">
        <v>0</v>
      </c>
      <c r="I41" s="393">
        <f t="shared" si="6"/>
        <v>670690.5</v>
      </c>
      <c r="U41" s="406">
        <v>24</v>
      </c>
      <c r="V41" s="388" t="s">
        <v>371</v>
      </c>
      <c r="W41" s="388"/>
      <c r="X41" s="394" t="e">
        <f>IF(AND(D41="",#REF!&lt;&gt;"*"),"",IF(AND(D41="",#REF!="*"),"Error 1.1",IF(D41="*","Warning 1.1",IF(ISNUMBER(D41)=FALSE,"Error 1.2",IF(D41&lt;0,"Error 1.3","")))))</f>
        <v>#REF!</v>
      </c>
      <c r="Y41" s="394" t="e">
        <f>IF(AND(E41="",#REF!&lt;&gt;"*"),"",IF(AND(E41="",#REF!="*"),"Error 1.1",IF(E41="*","Warning 1.1",IF(ISNUMBER(E41)=FALSE,"Error 1.2",IF(E41&lt;0,"Error 1.3","")))))</f>
        <v>#REF!</v>
      </c>
      <c r="Z41" s="394" t="e">
        <f>IF(AND(F41="",#REF!&lt;&gt;"*"),"",IF(AND(F41="",#REF!="*"),"Error 1.1",IF(F41="*","Warning 1.1",IF(ISNUMBER(F41)=FALSE,"Error 1.2",IF(F41&lt;0,"Error 1.3","")))))</f>
        <v>#REF!</v>
      </c>
      <c r="AA41" s="394">
        <f t="shared" si="0"/>
      </c>
      <c r="AB41" s="394" t="e">
        <f>IF(AND(H41="",#REF!&lt;&gt;"*"),"",IF(AND(H41="",#REF!="*"),"Error 1.1",IF(H41="*","Warning 1.1",IF(ISNUMBER(H41)=FALSE,"Error 1.2",IF(H41&lt;0,"Error 1.3","")))))</f>
        <v>#REF!</v>
      </c>
      <c r="AC41" s="394">
        <f t="shared" si="1"/>
      </c>
      <c r="AE41" s="338" t="e">
        <f t="shared" si="2"/>
        <v>#REF!</v>
      </c>
    </row>
    <row r="42" spans="1:31" ht="12.75" customHeight="1">
      <c r="A42" s="406">
        <v>25</v>
      </c>
      <c r="B42" s="388" t="s">
        <v>372</v>
      </c>
      <c r="C42" s="388"/>
      <c r="D42" s="391">
        <v>0</v>
      </c>
      <c r="E42" s="391">
        <v>0</v>
      </c>
      <c r="F42" s="391">
        <v>0</v>
      </c>
      <c r="G42" s="393">
        <f t="shared" si="5"/>
        <v>0</v>
      </c>
      <c r="H42" s="391">
        <v>0</v>
      </c>
      <c r="I42" s="393">
        <f t="shared" si="6"/>
        <v>0</v>
      </c>
      <c r="U42" s="406">
        <v>25</v>
      </c>
      <c r="V42" s="388" t="s">
        <v>372</v>
      </c>
      <c r="W42" s="388"/>
      <c r="X42" s="394" t="e">
        <f>IF(AND(D42="",#REF!&lt;&gt;"*"),"",IF(AND(D42="",#REF!="*"),"Error 1.1",IF(D42="*","Warning 1.1",IF(ISNUMBER(D42)=FALSE,"Error 1.2",IF(D42&lt;0,"Error 1.3","")))))</f>
        <v>#REF!</v>
      </c>
      <c r="Y42" s="394" t="e">
        <f>IF(AND(E42="",#REF!&lt;&gt;"*"),"",IF(AND(E42="",#REF!="*"),"Error 1.1",IF(E42="*","Warning 1.1",IF(ISNUMBER(E42)=FALSE,"Error 1.2",IF(E42&lt;0,"Error 1.3","")))))</f>
        <v>#REF!</v>
      </c>
      <c r="Z42" s="394" t="e">
        <f>IF(AND(F42="",#REF!&lt;&gt;"*"),"",IF(AND(F42="",#REF!="*"),"Error 1.1",IF(F42="*","Warning 1.1",IF(ISNUMBER(F42)=FALSE,"Error 1.2",IF(F42&lt;0,"Error 1.3","")))))</f>
        <v>#REF!</v>
      </c>
      <c r="AA42" s="394">
        <f t="shared" si="0"/>
      </c>
      <c r="AB42" s="394" t="e">
        <f>IF(AND(H42="",#REF!&lt;&gt;"*"),"",IF(AND(H42="",#REF!="*"),"Error 1.1",IF(H42="*","Warning 1.1",IF(ISNUMBER(H42)=FALSE,"Error 1.2",IF(H42&lt;0,"Error 1.3","")))))</f>
        <v>#REF!</v>
      </c>
      <c r="AC42" s="394">
        <f t="shared" si="1"/>
      </c>
      <c r="AE42" s="338" t="e">
        <f t="shared" si="2"/>
        <v>#REF!</v>
      </c>
    </row>
    <row r="43" spans="1:31" ht="12.75" customHeight="1">
      <c r="A43" s="406">
        <v>26</v>
      </c>
      <c r="B43" s="388" t="s">
        <v>373</v>
      </c>
      <c r="C43" s="388"/>
      <c r="D43" s="391">
        <v>0</v>
      </c>
      <c r="E43" s="391">
        <v>0</v>
      </c>
      <c r="F43" s="391">
        <v>0</v>
      </c>
      <c r="G43" s="393">
        <f t="shared" si="5"/>
        <v>0</v>
      </c>
      <c r="H43" s="391">
        <v>0</v>
      </c>
      <c r="I43" s="393">
        <f t="shared" si="6"/>
        <v>0</v>
      </c>
      <c r="U43" s="406">
        <v>26</v>
      </c>
      <c r="V43" s="388" t="s">
        <v>373</v>
      </c>
      <c r="W43" s="388"/>
      <c r="X43" s="394" t="e">
        <f>IF(AND(D43="",#REF!&lt;&gt;"*"),"",IF(AND(D43="",#REF!="*"),"Error 1.1",IF(D43="*","Warning 1.1",IF(ISNUMBER(D43)=FALSE,"Error 1.2",IF(D43&lt;0,"Error 1.3","")))))</f>
        <v>#REF!</v>
      </c>
      <c r="Y43" s="394" t="e">
        <f>IF(AND(E43="",#REF!&lt;&gt;"*"),"",IF(AND(E43="",#REF!="*"),"Error 1.1",IF(E43="*","Warning 1.1",IF(ISNUMBER(E43)=FALSE,"Error 1.2",IF(E43&lt;0,"Error 1.3","")))))</f>
        <v>#REF!</v>
      </c>
      <c r="Z43" s="394" t="e">
        <f>IF(AND(F43="",#REF!&lt;&gt;"*"),"",IF(AND(F43="",#REF!="*"),"Error 1.1",IF(F43="*","Warning 1.1",IF(ISNUMBER(F43)=FALSE,"Error 1.2",IF(F43&lt;0,"Error 1.3","")))))</f>
        <v>#REF!</v>
      </c>
      <c r="AA43" s="394">
        <f t="shared" si="0"/>
      </c>
      <c r="AB43" s="394" t="e">
        <f>IF(AND(H43="",#REF!&lt;&gt;"*"),"",IF(AND(H43="",#REF!="*"),"Error 1.1",IF(H43="*","Warning 1.1",IF(ISNUMBER(H43)=FALSE,"Error 1.2",IF(H43&lt;0,"Error 1.3","")))))</f>
        <v>#REF!</v>
      </c>
      <c r="AC43" s="394">
        <f t="shared" si="1"/>
      </c>
      <c r="AE43" s="338" t="e">
        <f t="shared" si="2"/>
        <v>#REF!</v>
      </c>
    </row>
    <row r="44" spans="1:31" ht="12.75" customHeight="1" thickBot="1">
      <c r="A44" s="406">
        <v>27</v>
      </c>
      <c r="B44" s="388" t="s">
        <v>374</v>
      </c>
      <c r="C44" s="388"/>
      <c r="D44" s="391">
        <v>0</v>
      </c>
      <c r="E44" s="391">
        <v>0</v>
      </c>
      <c r="F44" s="391">
        <v>195792</v>
      </c>
      <c r="G44" s="393">
        <f t="shared" si="5"/>
        <v>195792</v>
      </c>
      <c r="H44" s="391">
        <v>0</v>
      </c>
      <c r="I44" s="393">
        <f t="shared" si="6"/>
        <v>195792</v>
      </c>
      <c r="U44" s="406">
        <v>27</v>
      </c>
      <c r="V44" s="388" t="s">
        <v>374</v>
      </c>
      <c r="W44" s="388"/>
      <c r="X44" s="394" t="e">
        <f>IF(AND(D44="",#REF!&lt;&gt;"*"),"",IF(AND(D44="",#REF!="*"),"Error 1.1",IF(D44="*","Warning 1.1",IF(ISNUMBER(D44)=FALSE,"Error 1.2",IF(D44&lt;0,"Error 1.3","")))))</f>
        <v>#REF!</v>
      </c>
      <c r="Y44" s="394" t="e">
        <f>IF(AND(E44="",#REF!&lt;&gt;"*"),"",IF(AND(E44="",#REF!="*"),"Error 1.1",IF(E44="*","Warning 1.1",IF(ISNUMBER(E44)=FALSE,"Error 1.2",IF(E44&lt;0,"Error 1.3","")))))</f>
        <v>#REF!</v>
      </c>
      <c r="Z44" s="394" t="e">
        <f>IF(AND(F44="",#REF!&lt;&gt;"*"),"",IF(AND(F44="",#REF!="*"),"Error 1.1",IF(F44="*","Warning 1.1",IF(ISNUMBER(F44)=FALSE,"Error 1.2",IF(F44&lt;0,"Error 1.3","")))))</f>
        <v>#REF!</v>
      </c>
      <c r="AA44" s="394">
        <f t="shared" si="0"/>
      </c>
      <c r="AB44" s="394" t="e">
        <f>IF(AND(H44="",#REF!&lt;&gt;"*"),"",IF(AND(H44="",#REF!="*"),"Error 1.1",IF(H44="*","Warning 1.1",IF(ISNUMBER(H44)=FALSE,"Error 1.2",IF(H44&lt;0,"Error 1.3","")))))</f>
        <v>#REF!</v>
      </c>
      <c r="AC44" s="394">
        <f t="shared" si="1"/>
      </c>
      <c r="AE44" s="338" t="e">
        <f t="shared" si="2"/>
        <v>#REF!</v>
      </c>
    </row>
    <row r="45" spans="1:31" ht="12.75" customHeight="1" thickBot="1">
      <c r="A45" s="406">
        <v>28</v>
      </c>
      <c r="B45" s="387" t="s">
        <v>375</v>
      </c>
      <c r="C45" s="388"/>
      <c r="D45" s="396">
        <f>SUM(D37:D44)</f>
        <v>0</v>
      </c>
      <c r="E45" s="396">
        <f>SUM(E37:E44)</f>
        <v>0</v>
      </c>
      <c r="F45" s="396">
        <f>SUM(F37:F44)</f>
        <v>2414787.5</v>
      </c>
      <c r="G45" s="397">
        <f t="shared" si="5"/>
        <v>2414787.5</v>
      </c>
      <c r="H45" s="396">
        <f>SUM(H37:H44)</f>
        <v>299780</v>
      </c>
      <c r="I45" s="397">
        <f>G45-H45</f>
        <v>2115007.5</v>
      </c>
      <c r="U45" s="406">
        <v>28</v>
      </c>
      <c r="V45" s="387" t="s">
        <v>375</v>
      </c>
      <c r="W45" s="388"/>
      <c r="X45" s="394" t="e">
        <f>IF(AND(D45="",#REF!&lt;&gt;"*"),"",IF(AND(D45="",#REF!="*"),"Error 1.1",IF(D45="*","Warning 1.1",IF(ISNUMBER(D45)=FALSE,"Error 1.2",IF(D45&lt;0,"Error 1.3","")))))</f>
        <v>#REF!</v>
      </c>
      <c r="Y45" s="394" t="e">
        <f>IF(AND(E45="",#REF!&lt;&gt;"*"),"",IF(AND(E45="",#REF!="*"),"Error 1.1",IF(E45="*","Warning 1.1",IF(ISNUMBER(E45)=FALSE,"Error 1.2",IF(E45&lt;0,"Error 1.3","")))))</f>
        <v>#REF!</v>
      </c>
      <c r="Z45" s="394" t="e">
        <f>IF(AND(F45="",#REF!&lt;&gt;"*"),"",IF(AND(F45="",#REF!="*"),"Error 1.1",IF(F45="*","Warning 1.1",IF(ISNUMBER(F45)=FALSE,"Error 1.2",IF(F45&lt;0,"Error 1.3","")))))</f>
        <v>#REF!</v>
      </c>
      <c r="AA45" s="394">
        <f t="shared" si="0"/>
      </c>
      <c r="AB45" s="394" t="e">
        <f>IF(AND(H45="",#REF!&lt;&gt;"*"),"",IF(AND(H45="",#REF!="*"),"Error 1.1",IF(H45="*","Warning 1.1",IF(ISNUMBER(H45)=FALSE,"Error 1.2",IF(H45&lt;0,"Error 1.3","")))))</f>
        <v>#REF!</v>
      </c>
      <c r="AC45" s="394">
        <f t="shared" si="1"/>
      </c>
      <c r="AE45" s="338" t="e">
        <f t="shared" si="2"/>
        <v>#REF!</v>
      </c>
    </row>
    <row r="46" spans="1:29" ht="12.75" customHeight="1">
      <c r="A46" s="388"/>
      <c r="B46" s="388"/>
      <c r="C46" s="388"/>
      <c r="D46" s="408"/>
      <c r="E46" s="408"/>
      <c r="F46" s="408"/>
      <c r="G46" s="402"/>
      <c r="H46" s="403"/>
      <c r="I46" s="402"/>
      <c r="U46" s="388"/>
      <c r="V46" s="388"/>
      <c r="W46" s="388"/>
      <c r="X46" s="401"/>
      <c r="Y46" s="401"/>
      <c r="Z46" s="401"/>
      <c r="AA46" s="401"/>
      <c r="AB46" s="401"/>
      <c r="AC46" s="401"/>
    </row>
    <row r="47" spans="1:31" ht="12.75" customHeight="1">
      <c r="A47" s="411" t="s">
        <v>376</v>
      </c>
      <c r="B47" s="388"/>
      <c r="C47" s="388"/>
      <c r="D47" s="408"/>
      <c r="E47" s="408"/>
      <c r="F47" s="408"/>
      <c r="G47" s="412"/>
      <c r="H47" s="414"/>
      <c r="I47" s="412"/>
      <c r="U47" s="411" t="s">
        <v>376</v>
      </c>
      <c r="V47" s="388"/>
      <c r="W47" s="388"/>
      <c r="X47" s="404"/>
      <c r="Y47" s="404"/>
      <c r="Z47" s="404"/>
      <c r="AA47" s="404"/>
      <c r="AB47" s="404"/>
      <c r="AC47" s="404"/>
      <c r="AE47" s="338">
        <f t="shared" si="2"/>
        <v>0</v>
      </c>
    </row>
    <row r="48" spans="1:31" ht="12.75" customHeight="1">
      <c r="A48" s="406">
        <v>29</v>
      </c>
      <c r="B48" s="388" t="s">
        <v>377</v>
      </c>
      <c r="C48" s="388"/>
      <c r="D48" s="391">
        <v>0</v>
      </c>
      <c r="E48" s="391">
        <v>0</v>
      </c>
      <c r="F48" s="391">
        <v>0</v>
      </c>
      <c r="G48" s="393">
        <f>SUM(D48:F48)</f>
        <v>0</v>
      </c>
      <c r="H48" s="391">
        <v>0</v>
      </c>
      <c r="I48" s="393">
        <f>G48-H48</f>
        <v>0</v>
      </c>
      <c r="U48" s="406">
        <v>29</v>
      </c>
      <c r="V48" s="388" t="s">
        <v>377</v>
      </c>
      <c r="W48" s="388"/>
      <c r="X48" s="394" t="e">
        <f>IF(AND(D48="",#REF!&lt;&gt;"*"),"",IF(AND(D48="",#REF!="*"),"Error 1.1",IF(D48="*","Warning 1.1",IF(ISNUMBER(D48)=FALSE,"Error 1.2",IF(D48&lt;0,"Error 1.3","")))))</f>
        <v>#REF!</v>
      </c>
      <c r="Y48" s="394" t="e">
        <f>IF(AND(E48="",#REF!&lt;&gt;"*"),"",IF(AND(E48="",#REF!="*"),"Error 1.1",IF(E48="*","Warning 1.1",IF(ISNUMBER(E48)=FALSE,"Error 1.2",IF(E48&lt;0,"Error 1.3","")))))</f>
        <v>#REF!</v>
      </c>
      <c r="Z48" s="394" t="e">
        <f>IF(AND(F48="",#REF!&lt;&gt;"*"),"",IF(AND(F48="",#REF!="*"),"Error 1.1",IF(F48="*","Warning 1.1",IF(ISNUMBER(F48)=FALSE,"Error 1.2",IF(F48&lt;0,"Error 1.3","")))))</f>
        <v>#REF!</v>
      </c>
      <c r="AA48" s="394">
        <f t="shared" si="0"/>
      </c>
      <c r="AB48" s="394" t="e">
        <f>IF(AND(H48="",#REF!&lt;&gt;"*"),"",IF(AND(H48="",#REF!="*"),"Error 1.1",IF(H48="*","Warning 1.1",IF(ISNUMBER(H48)=FALSE,"Error 1.2",IF(H48&lt;0,"Error 1.3","")))))</f>
        <v>#REF!</v>
      </c>
      <c r="AC48" s="394">
        <f t="shared" si="1"/>
      </c>
      <c r="AE48" s="338" t="e">
        <f t="shared" si="2"/>
        <v>#REF!</v>
      </c>
    </row>
    <row r="49" spans="1:31" ht="12.75" customHeight="1">
      <c r="A49" s="406">
        <v>30</v>
      </c>
      <c r="B49" s="388" t="s">
        <v>378</v>
      </c>
      <c r="C49" s="388"/>
      <c r="D49" s="391">
        <v>0</v>
      </c>
      <c r="E49" s="391">
        <v>0</v>
      </c>
      <c r="F49" s="391">
        <v>1484373.26</v>
      </c>
      <c r="G49" s="393">
        <f>SUM(D49:F49)</f>
        <v>1484373.26</v>
      </c>
      <c r="H49" s="391">
        <f>517937.97-91445</f>
        <v>426492.97</v>
      </c>
      <c r="I49" s="393">
        <f>G49-H49</f>
        <v>1057880.29</v>
      </c>
      <c r="U49" s="406">
        <v>30</v>
      </c>
      <c r="V49" s="388" t="s">
        <v>378</v>
      </c>
      <c r="W49" s="388"/>
      <c r="X49" s="394" t="e">
        <f>IF(AND(D49="",#REF!&lt;&gt;"*"),"",IF(AND(D49="",#REF!="*"),"Error 1.1",IF(D49="*","Warning 1.1",IF(ISNUMBER(D49)=FALSE,"Error 1.2",IF(D49&lt;0,"Error 1.3","")))))</f>
        <v>#REF!</v>
      </c>
      <c r="Y49" s="394" t="e">
        <f>IF(AND(E49="",#REF!&lt;&gt;"*"),"",IF(AND(E49="",#REF!="*"),"Error 1.1",IF(E49="*","Warning 1.1",IF(ISNUMBER(E49)=FALSE,"Error 1.2",IF(E49&lt;0,"Error 1.3","")))))</f>
        <v>#REF!</v>
      </c>
      <c r="Z49" s="394" t="e">
        <f>IF(AND(F49="",#REF!&lt;&gt;"*"),"",IF(AND(F49="",#REF!="*"),"Error 1.1",IF(F49="*","Warning 1.1",IF(ISNUMBER(F49)=FALSE,"Error 1.2",IF(F49&lt;0,"Error 1.3","")))))</f>
        <v>#REF!</v>
      </c>
      <c r="AA49" s="394">
        <f t="shared" si="0"/>
      </c>
      <c r="AB49" s="394" t="e">
        <f>IF(AND(H49="",#REF!&lt;&gt;"*"),"",IF(AND(H49="",#REF!="*"),"Error 1.1",IF(H49="*","Warning 1.1",IF(ISNUMBER(H49)=FALSE,"Error 1.2",IF(H49&lt;0,"Error 1.3","")))))</f>
        <v>#REF!</v>
      </c>
      <c r="AC49" s="394">
        <f t="shared" si="1"/>
      </c>
      <c r="AE49" s="338" t="e">
        <f t="shared" si="2"/>
        <v>#REF!</v>
      </c>
    </row>
    <row r="50" spans="1:31" ht="12.75" customHeight="1">
      <c r="A50" s="406">
        <v>31</v>
      </c>
      <c r="B50" s="388" t="s">
        <v>379</v>
      </c>
      <c r="C50" s="388"/>
      <c r="D50" s="391">
        <v>0</v>
      </c>
      <c r="E50" s="391">
        <v>0</v>
      </c>
      <c r="F50" s="391">
        <v>5281240.87</v>
      </c>
      <c r="G50" s="393">
        <f>SUM(D50:F50)</f>
        <v>5281240.87</v>
      </c>
      <c r="H50" s="391">
        <f>7002653.98-2737652.31</f>
        <v>4265001.67</v>
      </c>
      <c r="I50" s="393">
        <f>G50-H50</f>
        <v>1016239.2000000002</v>
      </c>
      <c r="U50" s="406">
        <v>31</v>
      </c>
      <c r="V50" s="388" t="s">
        <v>379</v>
      </c>
      <c r="W50" s="388"/>
      <c r="X50" s="394" t="e">
        <f>IF(AND(D50="",#REF!&lt;&gt;"*"),"",IF(AND(D50="",#REF!="*"),"Error 1.1",IF(D50="*","Warning 1.1",IF(ISNUMBER(D50)=FALSE,"Error 1.2",IF(D50&lt;0,"Error 1.3","")))))</f>
        <v>#REF!</v>
      </c>
      <c r="Y50" s="394" t="e">
        <f>IF(AND(E50="",#REF!&lt;&gt;"*"),"",IF(AND(E50="",#REF!="*"),"Error 1.1",IF(E50="*","Warning 1.1",IF(ISNUMBER(E50)=FALSE,"Error 1.2",IF(E50&lt;0,"Error 1.3","")))))</f>
        <v>#REF!</v>
      </c>
      <c r="Z50" s="394" t="e">
        <f>IF(AND(F50="",#REF!&lt;&gt;"*"),"",IF(AND(F50="",#REF!="*"),"Error 1.1",IF(F50="*","Warning 1.1",IF(ISNUMBER(F50)=FALSE,"Error 1.2",IF(F50&lt;0,"Error 1.3","")))))</f>
        <v>#REF!</v>
      </c>
      <c r="AA50" s="394">
        <f t="shared" si="0"/>
      </c>
      <c r="AB50" s="394" t="e">
        <f>IF(AND(H50="",#REF!&lt;&gt;"*"),"",IF(AND(H50="",#REF!="*"),"Error 1.1",IF(H50="*","Warning 1.1",IF(ISNUMBER(H50)=FALSE,"Error 1.2",IF(H50&lt;0,"Error 1.3","")))))</f>
        <v>#REF!</v>
      </c>
      <c r="AC50" s="394">
        <f t="shared" si="1"/>
      </c>
      <c r="AE50" s="338" t="e">
        <f t="shared" si="2"/>
        <v>#REF!</v>
      </c>
    </row>
    <row r="51" spans="1:31" ht="13.5" customHeight="1" thickBot="1">
      <c r="A51" s="406">
        <v>32</v>
      </c>
      <c r="B51" s="388" t="s">
        <v>380</v>
      </c>
      <c r="C51" s="388"/>
      <c r="D51" s="391">
        <v>0</v>
      </c>
      <c r="E51" s="391">
        <v>0</v>
      </c>
      <c r="F51" s="391">
        <v>3768279.52</v>
      </c>
      <c r="G51" s="393">
        <f>SUM(D51:F51)</f>
        <v>3768279.52</v>
      </c>
      <c r="H51" s="391">
        <v>3269642.75</v>
      </c>
      <c r="I51" s="393">
        <f>G51-H51</f>
        <v>498636.77</v>
      </c>
      <c r="U51" s="406">
        <v>32</v>
      </c>
      <c r="V51" s="388" t="s">
        <v>380</v>
      </c>
      <c r="W51" s="388"/>
      <c r="X51" s="394" t="e">
        <f>IF(AND(D51="",#REF!&lt;&gt;"*"),"",IF(AND(D51="",#REF!="*"),"Error 1.1",IF(D51="*","Warning 1.1",IF(ISNUMBER(D51)=FALSE,"Error 1.2",IF(D51&lt;0,"Error 1.3","")))))</f>
        <v>#REF!</v>
      </c>
      <c r="Y51" s="394" t="e">
        <f>IF(AND(E51="",#REF!&lt;&gt;"*"),"",IF(AND(E51="",#REF!="*"),"Error 1.1",IF(E51="*","Warning 1.1",IF(ISNUMBER(E51)=FALSE,"Error 1.2",IF(E51&lt;0,"Error 1.3","")))))</f>
        <v>#REF!</v>
      </c>
      <c r="Z51" s="394" t="e">
        <f>IF(AND(F51="",#REF!&lt;&gt;"*"),"",IF(AND(F51="",#REF!="*"),"Error 1.1",IF(F51="*","Warning 1.1",IF(ISNUMBER(F51)=FALSE,"Error 1.2",IF(F51&lt;0,"Error 1.3","")))))</f>
        <v>#REF!</v>
      </c>
      <c r="AA51" s="394">
        <f t="shared" si="0"/>
      </c>
      <c r="AB51" s="394" t="e">
        <f>IF(AND(H51="",#REF!&lt;&gt;"*"),"",IF(AND(H51="",#REF!="*"),"Error 1.1",IF(H51="*","Warning 1.1",IF(ISNUMBER(H51)=FALSE,"Error 1.2",IF(H51&lt;0,"Error 1.3","")))))</f>
        <v>#REF!</v>
      </c>
      <c r="AC51" s="394">
        <f t="shared" si="1"/>
      </c>
      <c r="AE51" s="338" t="e">
        <f t="shared" si="2"/>
        <v>#REF!</v>
      </c>
    </row>
    <row r="52" spans="1:31" ht="12.75" customHeight="1" thickBot="1">
      <c r="A52" s="406">
        <v>33</v>
      </c>
      <c r="B52" s="387" t="s">
        <v>381</v>
      </c>
      <c r="C52" s="388"/>
      <c r="D52" s="396">
        <f>SUM(D48:D51)</f>
        <v>0</v>
      </c>
      <c r="E52" s="396">
        <f>SUM(E48:E51)</f>
        <v>0</v>
      </c>
      <c r="F52" s="396">
        <f>SUM(F48:F51)</f>
        <v>10533893.65</v>
      </c>
      <c r="G52" s="397">
        <f>SUM(D52:F52)</f>
        <v>10533893.65</v>
      </c>
      <c r="H52" s="396">
        <f>SUM(H48:H51)</f>
        <v>7961137.39</v>
      </c>
      <c r="I52" s="397">
        <f>G52-H52</f>
        <v>2572756.2600000007</v>
      </c>
      <c r="U52" s="406">
        <v>33</v>
      </c>
      <c r="V52" s="387" t="s">
        <v>381</v>
      </c>
      <c r="W52" s="388"/>
      <c r="X52" s="394" t="e">
        <f>IF(AND(D52="",#REF!&lt;&gt;"*"),"",IF(AND(D52="",#REF!="*"),"Error 1.1",IF(D52="*","Warning 1.1",IF(ISNUMBER(D52)=FALSE,"Error 1.2",IF(D52&lt;0,"Error 1.3","")))))</f>
        <v>#REF!</v>
      </c>
      <c r="Y52" s="394" t="e">
        <f>IF(AND(E52="",#REF!&lt;&gt;"*"),"",IF(AND(E52="",#REF!="*"),"Error 1.1",IF(E52="*","Warning 1.1",IF(ISNUMBER(E52)=FALSE,"Error 1.2",IF(E52&lt;0,"Error 1.3","")))))</f>
        <v>#REF!</v>
      </c>
      <c r="Z52" s="394" t="e">
        <f>IF(AND(F52="",#REF!&lt;&gt;"*"),"",IF(AND(F52="",#REF!="*"),"Error 1.1",IF(F52="*","Warning 1.1",IF(ISNUMBER(F52)=FALSE,"Error 1.2",IF(F52&lt;0,"Error 1.3","")))))</f>
        <v>#REF!</v>
      </c>
      <c r="AA52" s="394">
        <f t="shared" si="0"/>
      </c>
      <c r="AB52" s="394" t="e">
        <f>IF(AND(D52="",#REF!&lt;&gt;"*"),"",IF(AND(D52="",#REF!="*"),"Error 1.1",IF(D52="*","Warning 1.1",IF(ISNUMBER(D52)=FALSE,"Error 1.2",IF(D52&lt;0,"Error 1.3","")))))</f>
        <v>#REF!</v>
      </c>
      <c r="AC52" s="394">
        <f t="shared" si="1"/>
      </c>
      <c r="AE52" s="338" t="e">
        <f t="shared" si="2"/>
        <v>#REF!</v>
      </c>
    </row>
    <row r="53" spans="1:29" ht="12.75" customHeight="1">
      <c r="A53" s="388"/>
      <c r="B53" s="388"/>
      <c r="C53" s="388"/>
      <c r="D53" s="408"/>
      <c r="E53" s="408"/>
      <c r="F53" s="408"/>
      <c r="G53" s="402"/>
      <c r="H53" s="403"/>
      <c r="I53" s="402"/>
      <c r="U53" s="388"/>
      <c r="V53" s="388"/>
      <c r="W53" s="388"/>
      <c r="X53" s="401"/>
      <c r="Y53" s="401"/>
      <c r="Z53" s="401"/>
      <c r="AA53" s="401"/>
      <c r="AB53" s="401"/>
      <c r="AC53" s="401"/>
    </row>
    <row r="54" spans="1:31" ht="12.75" customHeight="1">
      <c r="A54" s="411" t="s">
        <v>382</v>
      </c>
      <c r="B54" s="388"/>
      <c r="C54" s="388"/>
      <c r="D54" s="408"/>
      <c r="E54" s="408"/>
      <c r="F54" s="408"/>
      <c r="G54" s="412"/>
      <c r="H54" s="414"/>
      <c r="I54" s="412"/>
      <c r="U54" s="411" t="s">
        <v>382</v>
      </c>
      <c r="V54" s="388"/>
      <c r="W54" s="388"/>
      <c r="X54" s="404"/>
      <c r="Y54" s="404"/>
      <c r="Z54" s="404"/>
      <c r="AA54" s="404"/>
      <c r="AB54" s="404"/>
      <c r="AC54" s="404"/>
      <c r="AE54" s="338">
        <f t="shared" si="2"/>
        <v>0</v>
      </c>
    </row>
    <row r="55" spans="1:31" ht="12.75" customHeight="1">
      <c r="A55" s="406">
        <v>34</v>
      </c>
      <c r="B55" s="388" t="s">
        <v>383</v>
      </c>
      <c r="C55" s="388"/>
      <c r="D55" s="391">
        <v>0</v>
      </c>
      <c r="E55" s="391">
        <v>0</v>
      </c>
      <c r="F55" s="391">
        <v>1014364</v>
      </c>
      <c r="G55" s="393">
        <f>SUM(D55:F55)</f>
        <v>1014364</v>
      </c>
      <c r="H55" s="391">
        <v>0</v>
      </c>
      <c r="I55" s="393">
        <f>G55-H55</f>
        <v>1014364</v>
      </c>
      <c r="U55" s="406">
        <v>34</v>
      </c>
      <c r="V55" s="388" t="s">
        <v>383</v>
      </c>
      <c r="W55" s="388"/>
      <c r="X55" s="394" t="e">
        <f>IF(AND(D55="",#REF!&lt;&gt;"*"),"",IF(AND(D55="",#REF!="*"),"Error 1.1",IF(D55="*","Warning 1.1",IF(ISNUMBER(D55)=FALSE,"Error 1.2",IF(D55&lt;0,"Error 1.3","")))))</f>
        <v>#REF!</v>
      </c>
      <c r="Y55" s="394" t="e">
        <f>IF(AND(E55="",#REF!&lt;&gt;"*"),"",IF(AND(E55="",#REF!="*"),"Error 1.1",IF(E55="*","Warning 1.1",IF(ISNUMBER(E55)=FALSE,"Error 1.2",IF(E55&lt;0,"Error 1.3","")))))</f>
        <v>#REF!</v>
      </c>
      <c r="Z55" s="394" t="e">
        <f>IF(AND(F55="",#REF!&lt;&gt;"*"),"",IF(AND(F55="",#REF!="*"),"Error 1.1",IF(F55="*","Warning 1.1",IF(ISNUMBER(F55)=FALSE,"Error 1.2",IF(F55&lt;0,"Error 1.3","")))))</f>
        <v>#REF!</v>
      </c>
      <c r="AA55" s="394">
        <f t="shared" si="0"/>
      </c>
      <c r="AB55" s="394" t="e">
        <f>IF(AND(H55="",#REF!&lt;&gt;"*"),"",IF(AND(H55="",#REF!="*"),"Error 1.1",IF(H55="*","Warning 1.1",IF(ISNUMBER(H55)=FALSE,"Error 1.2",IF(H55&lt;0,"Error 1.3","")))))</f>
        <v>#REF!</v>
      </c>
      <c r="AC55" s="394">
        <f t="shared" si="1"/>
      </c>
      <c r="AE55" s="338" t="e">
        <f t="shared" si="2"/>
        <v>#REF!</v>
      </c>
    </row>
    <row r="56" spans="1:31" ht="13.5" customHeight="1">
      <c r="A56" s="406">
        <v>35</v>
      </c>
      <c r="B56" s="388" t="s">
        <v>384</v>
      </c>
      <c r="C56" s="388"/>
      <c r="D56" s="391">
        <v>0</v>
      </c>
      <c r="E56" s="391">
        <v>0</v>
      </c>
      <c r="F56" s="391">
        <v>434728</v>
      </c>
      <c r="G56" s="393">
        <f>SUM(D56:F56)</f>
        <v>434728</v>
      </c>
      <c r="H56" s="391">
        <v>186843</v>
      </c>
      <c r="I56" s="393">
        <f>G56-H56</f>
        <v>247885</v>
      </c>
      <c r="U56" s="406">
        <v>35</v>
      </c>
      <c r="V56" s="388" t="s">
        <v>384</v>
      </c>
      <c r="W56" s="388"/>
      <c r="X56" s="394" t="e">
        <f>IF(AND(D56="",#REF!&lt;&gt;"*"),"",IF(AND(D56="",#REF!="*"),"Error 1.1",IF(D56="*","Warning 1.1",IF(ISNUMBER(D56)=FALSE,"Error 1.2",IF(D56&lt;0,"Error 1.3","")))))</f>
        <v>#REF!</v>
      </c>
      <c r="Y56" s="394" t="e">
        <f>IF(AND(E56="",#REF!&lt;&gt;"*"),"",IF(AND(E56="",#REF!="*"),"Error 1.1",IF(E56="*","Warning 1.1",IF(ISNUMBER(E56)=FALSE,"Error 1.2",IF(E56&lt;0,"Error 1.3","")))))</f>
        <v>#REF!</v>
      </c>
      <c r="Z56" s="394" t="e">
        <f>IF(AND(F56="",#REF!&lt;&gt;"*"),"",IF(AND(F56="",#REF!="*"),"Error 1.1",IF(F56="*","Warning 1.1",IF(ISNUMBER(F56)=FALSE,"Error 1.2",IF(F56&lt;0,"Error 1.3","")))))</f>
        <v>#REF!</v>
      </c>
      <c r="AA56" s="394">
        <f t="shared" si="0"/>
      </c>
      <c r="AB56" s="394" t="e">
        <f>IF(AND(H56="",#REF!&lt;&gt;"*"),"",IF(AND(H56="",#REF!="*"),"Error 1.1",IF(H56="*","Warning 1.1",IF(ISNUMBER(H56)=FALSE,"Error 1.2",IF(H56&lt;0,"Error 1.3","")))))</f>
        <v>#REF!</v>
      </c>
      <c r="AC56" s="394">
        <f t="shared" si="1"/>
      </c>
      <c r="AE56" s="338" t="e">
        <f t="shared" si="2"/>
        <v>#REF!</v>
      </c>
    </row>
    <row r="57" spans="1:31" ht="12.75" customHeight="1" thickBot="1">
      <c r="A57" s="406">
        <v>36</v>
      </c>
      <c r="B57" s="388" t="s">
        <v>385</v>
      </c>
      <c r="C57" s="388"/>
      <c r="D57" s="391">
        <v>0</v>
      </c>
      <c r="E57" s="391">
        <v>0</v>
      </c>
      <c r="F57" s="391">
        <v>0</v>
      </c>
      <c r="G57" s="393">
        <f>SUM(D57:F57)</f>
        <v>0</v>
      </c>
      <c r="H57" s="391">
        <v>0</v>
      </c>
      <c r="I57" s="395">
        <f>G57-H57</f>
        <v>0</v>
      </c>
      <c r="U57" s="406">
        <v>36</v>
      </c>
      <c r="V57" s="388" t="s">
        <v>385</v>
      </c>
      <c r="W57" s="388"/>
      <c r="X57" s="394" t="e">
        <f>IF(AND(D57="",#REF!&lt;&gt;"*"),"",IF(AND(D57="",#REF!="*"),"Error 1.1",IF(D57="*","Warning 1.1",IF(ISNUMBER(D57)=FALSE,"Error 1.2",IF(D57&lt;0,"Error 1.3","")))))</f>
        <v>#REF!</v>
      </c>
      <c r="Y57" s="394" t="e">
        <f>IF(AND(E57="",#REF!&lt;&gt;"*"),"",IF(AND(E57="",#REF!="*"),"Error 1.1",IF(E57="*","Warning 1.1",IF(ISNUMBER(E57)=FALSE,"Error 1.2",IF(E57&lt;0,"Error 1.3","")))))</f>
        <v>#REF!</v>
      </c>
      <c r="Z57" s="394" t="e">
        <f>IF(AND(F57="",#REF!&lt;&gt;"*"),"",IF(AND(F57="",#REF!="*"),"Error 1.1",IF(F57="*","Warning 1.1",IF(ISNUMBER(F57)=FALSE,"Error 1.2",IF(F57&lt;0,"Error 1.3","")))))</f>
        <v>#REF!</v>
      </c>
      <c r="AA57" s="394">
        <f t="shared" si="0"/>
      </c>
      <c r="AB57" s="394" t="e">
        <f>IF(AND(H57="",#REF!&lt;&gt;"*"),"",IF(AND(H57="",#REF!="*"),"Error 1.1",IF(H57="*","Warning 1.1",IF(ISNUMBER(H57)=FALSE,"Error 1.2",IF(H57&lt;0,"Error 1.3","")))))</f>
        <v>#REF!</v>
      </c>
      <c r="AC57" s="394">
        <f t="shared" si="1"/>
      </c>
      <c r="AE57" s="338" t="e">
        <f t="shared" si="2"/>
        <v>#REF!</v>
      </c>
    </row>
    <row r="58" spans="1:31" ht="12" customHeight="1" thickBot="1">
      <c r="A58" s="406">
        <v>37</v>
      </c>
      <c r="B58" s="387" t="s">
        <v>386</v>
      </c>
      <c r="C58" s="388"/>
      <c r="D58" s="396">
        <f>SUM(D55:D57)</f>
        <v>0</v>
      </c>
      <c r="E58" s="396">
        <f>SUM(E55:E57)</f>
        <v>0</v>
      </c>
      <c r="F58" s="396">
        <f>SUM(F55:F57)</f>
        <v>1449092</v>
      </c>
      <c r="G58" s="397">
        <f>SUM(D58:F58)</f>
        <v>1449092</v>
      </c>
      <c r="H58" s="396">
        <f>SUM(H55:H57)</f>
        <v>186843</v>
      </c>
      <c r="I58" s="397">
        <f>G58-H58</f>
        <v>1262249</v>
      </c>
      <c r="U58" s="406">
        <v>37</v>
      </c>
      <c r="V58" s="387" t="s">
        <v>386</v>
      </c>
      <c r="W58" s="388"/>
      <c r="X58" s="394" t="e">
        <f>IF(AND(D58="",#REF!&lt;&gt;"*"),"",IF(AND(D58="",#REF!="*"),"Error 1.1",IF(D58="*","Warning 1.1",IF(ISNUMBER(D58)=FALSE,"Error 1.2",IF(D58&lt;0,"Error 1.3","")))))</f>
        <v>#REF!</v>
      </c>
      <c r="Y58" s="394" t="e">
        <f>IF(AND(E58="",#REF!&lt;&gt;"*"),"",IF(AND(E58="",#REF!="*"),"Error 1.1",IF(E58="*","Warning 1.1",IF(ISNUMBER(E58)=FALSE,"Error 1.2",IF(E58&lt;0,"Error 1.3","")))))</f>
        <v>#REF!</v>
      </c>
      <c r="Z58" s="394" t="e">
        <f>IF(AND(F58="",#REF!&lt;&gt;"*"),"",IF(AND(F58="",#REF!="*"),"Error 1.1",IF(F58="*","Warning 1.1",IF(ISNUMBER(F58)=FALSE,"Error 1.2",IF(F58&lt;0,"Error 1.3","")))))</f>
        <v>#REF!</v>
      </c>
      <c r="AA58" s="394">
        <f t="shared" si="0"/>
      </c>
      <c r="AB58" s="394" t="e">
        <f>IF(AND(H58="",#REF!&lt;&gt;"*"),"",IF(AND(H58="",#REF!="*"),"Error 1.1",IF(H58="*","Warning 1.1",IF(ISNUMBER(H58)=FALSE,"Error 1.2",IF(H58&lt;0,"Error 1.3","")))))</f>
        <v>#REF!</v>
      </c>
      <c r="AC58" s="394">
        <f t="shared" si="1"/>
      </c>
      <c r="AE58" s="338" t="e">
        <f t="shared" si="2"/>
        <v>#REF!</v>
      </c>
    </row>
    <row r="59" spans="1:29" ht="12.75" customHeight="1">
      <c r="A59" s="388"/>
      <c r="B59" s="388"/>
      <c r="C59" s="388"/>
      <c r="D59" s="408"/>
      <c r="E59" s="408"/>
      <c r="F59" s="408"/>
      <c r="G59" s="402"/>
      <c r="H59" s="403"/>
      <c r="I59" s="402"/>
      <c r="U59" s="388"/>
      <c r="V59" s="388"/>
      <c r="W59" s="388"/>
      <c r="X59" s="401"/>
      <c r="Y59" s="401"/>
      <c r="Z59" s="401"/>
      <c r="AA59" s="401"/>
      <c r="AB59" s="401"/>
      <c r="AC59" s="401"/>
    </row>
    <row r="60" spans="1:31" ht="12.75" customHeight="1">
      <c r="A60" s="411" t="s">
        <v>387</v>
      </c>
      <c r="B60" s="388"/>
      <c r="C60" s="388"/>
      <c r="D60" s="408"/>
      <c r="E60" s="408"/>
      <c r="F60" s="408"/>
      <c r="G60" s="412"/>
      <c r="H60" s="414"/>
      <c r="I60" s="412"/>
      <c r="U60" s="411" t="s">
        <v>387</v>
      </c>
      <c r="V60" s="388"/>
      <c r="W60" s="388"/>
      <c r="X60" s="404"/>
      <c r="Y60" s="404"/>
      <c r="Z60" s="404"/>
      <c r="AA60" s="404"/>
      <c r="AB60" s="404"/>
      <c r="AC60" s="404"/>
      <c r="AE60" s="338">
        <f t="shared" si="2"/>
        <v>0</v>
      </c>
    </row>
    <row r="61" spans="1:31" ht="12.75" customHeight="1">
      <c r="A61" s="406">
        <v>38</v>
      </c>
      <c r="B61" s="388" t="s">
        <v>388</v>
      </c>
      <c r="C61" s="388"/>
      <c r="D61" s="391">
        <v>0</v>
      </c>
      <c r="E61" s="391">
        <v>0</v>
      </c>
      <c r="F61" s="391">
        <v>0</v>
      </c>
      <c r="G61" s="393">
        <f aca="true" t="shared" si="7" ref="G61:G66">SUM(D61:F61)</f>
        <v>0</v>
      </c>
      <c r="H61" s="391">
        <v>0</v>
      </c>
      <c r="I61" s="393">
        <f aca="true" t="shared" si="8" ref="I61:I66">G61-H61</f>
        <v>0</v>
      </c>
      <c r="U61" s="406">
        <v>38</v>
      </c>
      <c r="V61" s="388" t="s">
        <v>388</v>
      </c>
      <c r="W61" s="388"/>
      <c r="X61" s="394" t="e">
        <f>IF(AND(D61="",#REF!&lt;&gt;"*"),"",IF(AND(D61="",#REF!="*"),"Error 1.1",IF(D61="*","Warning 1.1",IF(ISNUMBER(D61)=FALSE,"Error 1.2",IF(D61&lt;0,"Error 1.3","")))))</f>
        <v>#REF!</v>
      </c>
      <c r="Y61" s="394" t="e">
        <f>IF(AND(E61="",#REF!&lt;&gt;"*"),"",IF(AND(E61="",#REF!="*"),"Error 1.1",IF(E61="*","Warning 1.1",IF(ISNUMBER(E61)=FALSE,"Error 1.2",IF(E61&lt;0,"Error 1.3","")))))</f>
        <v>#REF!</v>
      </c>
      <c r="Z61" s="394" t="e">
        <f>IF(AND(F61="",#REF!&lt;&gt;"*"),"",IF(AND(F61="",#REF!="*"),"Error 1.1",IF(F61="*","Warning 1.1",IF(ISNUMBER(F61)=FALSE,"Error 1.2",IF(F61&lt;0,"Error 1.3","")))))</f>
        <v>#REF!</v>
      </c>
      <c r="AA61" s="394">
        <f t="shared" si="0"/>
      </c>
      <c r="AB61" s="394" t="e">
        <f>IF(AND(H61="",#REF!&lt;&gt;"*"),"",IF(AND(H61="",#REF!="*"),"Error 1.1",IF(H61="*","Warning 1.1",IF(ISNUMBER(H61)=FALSE,"Error 1.2",IF(H61&lt;0,"Error 1.3","")))))</f>
        <v>#REF!</v>
      </c>
      <c r="AC61" s="394">
        <f t="shared" si="1"/>
      </c>
      <c r="AE61" s="338" t="e">
        <f t="shared" si="2"/>
        <v>#REF!</v>
      </c>
    </row>
    <row r="62" spans="1:31" ht="12.75" customHeight="1">
      <c r="A62" s="406">
        <v>39</v>
      </c>
      <c r="B62" s="388" t="s">
        <v>389</v>
      </c>
      <c r="C62" s="388"/>
      <c r="D62" s="391">
        <v>0</v>
      </c>
      <c r="E62" s="391">
        <v>0</v>
      </c>
      <c r="F62" s="391">
        <v>151507</v>
      </c>
      <c r="G62" s="393">
        <f t="shared" si="7"/>
        <v>151507</v>
      </c>
      <c r="H62" s="391">
        <v>150000</v>
      </c>
      <c r="I62" s="393">
        <f t="shared" si="8"/>
        <v>1507</v>
      </c>
      <c r="U62" s="406">
        <v>39</v>
      </c>
      <c r="V62" s="388" t="s">
        <v>389</v>
      </c>
      <c r="W62" s="388"/>
      <c r="X62" s="394" t="e">
        <f>IF(AND(D62="",#REF!&lt;&gt;"*"),"",IF(AND(D62="",#REF!="*"),"Error 1.1",IF(D62="*","Warning 1.1",IF(ISNUMBER(D62)=FALSE,"Error 1.2",IF(D62&lt;0,"Error 1.3","")))))</f>
        <v>#REF!</v>
      </c>
      <c r="Y62" s="394" t="e">
        <f>IF(AND(E62="",#REF!&lt;&gt;"*"),"",IF(AND(E62="",#REF!="*"),"Error 1.1",IF(E62="*","Warning 1.1",IF(ISNUMBER(E62)=FALSE,"Error 1.2",IF(E62&lt;0,"Error 1.3","")))))</f>
        <v>#REF!</v>
      </c>
      <c r="Z62" s="394" t="e">
        <f>IF(AND(F62="",#REF!&lt;&gt;"*"),"",IF(AND(F62="",#REF!="*"),"Error 1.1",IF(F62="*","Warning 1.1",IF(ISNUMBER(F62)=FALSE,"Error 1.2",IF(F62&lt;0,"Error 1.3","")))))</f>
        <v>#REF!</v>
      </c>
      <c r="AA62" s="394">
        <f t="shared" si="0"/>
      </c>
      <c r="AB62" s="394" t="e">
        <f>IF(AND(H62="",#REF!&lt;&gt;"*"),"",IF(AND(H62="",#REF!="*"),"Error 1.1",IF(H62="*","Warning 1.1",IF(ISNUMBER(H62)=FALSE,"Error 1.2",IF(H62&lt;0,"Error 1.3","")))))</f>
        <v>#REF!</v>
      </c>
      <c r="AC62" s="394">
        <f t="shared" si="1"/>
      </c>
      <c r="AE62" s="338" t="e">
        <f t="shared" si="2"/>
        <v>#REF!</v>
      </c>
    </row>
    <row r="63" spans="1:31" ht="12.75" customHeight="1">
      <c r="A63" s="406">
        <v>40</v>
      </c>
      <c r="B63" s="388" t="s">
        <v>390</v>
      </c>
      <c r="C63" s="388"/>
      <c r="D63" s="391">
        <v>0</v>
      </c>
      <c r="E63" s="391">
        <v>0</v>
      </c>
      <c r="F63" s="391">
        <f>128907+197966.5</f>
        <v>326873.5</v>
      </c>
      <c r="G63" s="393">
        <f t="shared" si="7"/>
        <v>326873.5</v>
      </c>
      <c r="H63" s="391">
        <v>0</v>
      </c>
      <c r="I63" s="393">
        <f t="shared" si="8"/>
        <v>326873.5</v>
      </c>
      <c r="U63" s="406">
        <v>40</v>
      </c>
      <c r="V63" s="388" t="s">
        <v>390</v>
      </c>
      <c r="W63" s="388"/>
      <c r="X63" s="394" t="e">
        <f>IF(AND(D63="",#REF!&lt;&gt;"*"),"",IF(AND(D63="",#REF!="*"),"Error 1.1",IF(D63="*","Warning 1.1",IF(ISNUMBER(D63)=FALSE,"Error 1.2",IF(D63&lt;0,"Error 1.3","")))))</f>
        <v>#REF!</v>
      </c>
      <c r="Y63" s="394" t="e">
        <f>IF(AND(E63="",#REF!&lt;&gt;"*"),"",IF(AND(E63="",#REF!="*"),"Error 1.1",IF(E63="*","Warning 1.1",IF(ISNUMBER(E63)=FALSE,"Error 1.2",IF(E63&lt;0,"Error 1.3","")))))</f>
        <v>#REF!</v>
      </c>
      <c r="Z63" s="394" t="e">
        <f>IF(AND(F63="",#REF!&lt;&gt;"*"),"",IF(AND(F63="",#REF!="*"),"Error 1.1",IF(F63="*","Warning 1.1",IF(ISNUMBER(F63)=FALSE,"Error 1.2",IF(F63&lt;0,"Error 1.3","")))))</f>
        <v>#REF!</v>
      </c>
      <c r="AA63" s="394">
        <f t="shared" si="0"/>
      </c>
      <c r="AB63" s="394" t="e">
        <f>IF(AND(H63="",#REF!&lt;&gt;"*"),"",IF(AND(H63="",#REF!="*"),"Error 1.1",IF(H63="*","Warning 1.1",IF(ISNUMBER(H63)=FALSE,"Error 1.2",IF(H63&lt;0,"Error 1.3","")))))</f>
        <v>#REF!</v>
      </c>
      <c r="AC63" s="394">
        <f t="shared" si="1"/>
      </c>
      <c r="AE63" s="338" t="e">
        <f t="shared" si="2"/>
        <v>#REF!</v>
      </c>
    </row>
    <row r="64" spans="1:31" ht="12.75" customHeight="1">
      <c r="A64" s="406">
        <v>41</v>
      </c>
      <c r="B64" s="388" t="s">
        <v>391</v>
      </c>
      <c r="C64" s="388"/>
      <c r="D64" s="391">
        <v>0</v>
      </c>
      <c r="E64" s="391">
        <v>0</v>
      </c>
      <c r="F64" s="391">
        <f>593187+197966.5</f>
        <v>791153.5</v>
      </c>
      <c r="G64" s="393">
        <f t="shared" si="7"/>
        <v>791153.5</v>
      </c>
      <c r="H64" s="391">
        <f>209+61915</f>
        <v>62124</v>
      </c>
      <c r="I64" s="393">
        <f t="shared" si="8"/>
        <v>729029.5</v>
      </c>
      <c r="U64" s="406">
        <v>41</v>
      </c>
      <c r="V64" s="388" t="s">
        <v>391</v>
      </c>
      <c r="W64" s="388"/>
      <c r="X64" s="394" t="e">
        <f>IF(AND(D64="",#REF!&lt;&gt;"*"),"",IF(AND(D64="",#REF!="*"),"Error 1.1",IF(D64="*","Warning 1.1",IF(ISNUMBER(D64)=FALSE,"Error 1.2",IF(D64&lt;0,"Error 1.3","")))))</f>
        <v>#REF!</v>
      </c>
      <c r="Y64" s="394" t="e">
        <f>IF(AND(E64="",#REF!&lt;&gt;"*"),"",IF(AND(E64="",#REF!="*"),"Error 1.1",IF(E64="*","Warning 1.1",IF(ISNUMBER(E64)=FALSE,"Error 1.2",IF(E64&lt;0,"Error 1.3","")))))</f>
        <v>#REF!</v>
      </c>
      <c r="Z64" s="394" t="e">
        <f>IF(AND(F64="",#REF!&lt;&gt;"*"),"",IF(AND(F64="",#REF!="*"),"Error 1.1",IF(F64="*","Warning 1.1",IF(ISNUMBER(F64)=FALSE,"Error 1.2",IF(F64&lt;0,"Error 1.3","")))))</f>
        <v>#REF!</v>
      </c>
      <c r="AA64" s="394">
        <f t="shared" si="0"/>
      </c>
      <c r="AB64" s="394" t="e">
        <f>IF(AND(H64="",#REF!&lt;&gt;"*"),"",IF(AND(H64="",#REF!="*"),"Error 1.1",IF(H64="*","Warning 1.1",IF(ISNUMBER(H64)=FALSE,"Error 1.2",IF(H64&lt;0,"Error 1.3","")))))</f>
        <v>#REF!</v>
      </c>
      <c r="AC64" s="394">
        <f t="shared" si="1"/>
      </c>
      <c r="AE64" s="338" t="e">
        <f t="shared" si="2"/>
        <v>#REF!</v>
      </c>
    </row>
    <row r="65" spans="1:31" ht="12.75" customHeight="1" thickBot="1">
      <c r="A65" s="406">
        <v>42</v>
      </c>
      <c r="B65" s="388" t="s">
        <v>392</v>
      </c>
      <c r="C65" s="388"/>
      <c r="D65" s="391">
        <v>0</v>
      </c>
      <c r="E65" s="391">
        <v>0</v>
      </c>
      <c r="F65" s="391">
        <v>7391376</v>
      </c>
      <c r="G65" s="393">
        <f t="shared" si="7"/>
        <v>7391376</v>
      </c>
      <c r="H65" s="415">
        <v>573431</v>
      </c>
      <c r="I65" s="395">
        <f t="shared" si="8"/>
        <v>6817945</v>
      </c>
      <c r="U65" s="406">
        <v>42</v>
      </c>
      <c r="V65" s="388" t="s">
        <v>392</v>
      </c>
      <c r="W65" s="388"/>
      <c r="X65" s="394" t="e">
        <f>IF(AND(D65="",#REF!&lt;&gt;"*"),"",IF(AND(D65="",#REF!="*"),"Error 1.1",IF(D65="*","Warning 1.1",IF(ISNUMBER(D65)=FALSE,"Error 1.2",IF(D65&lt;0,"Error 1.3","")))))</f>
        <v>#REF!</v>
      </c>
      <c r="Y65" s="394" t="e">
        <f>IF(AND(E65="",#REF!&lt;&gt;"*"),"",IF(AND(E65="",#REF!="*"),"Error 1.1",IF(E65="*","Warning 1.1",IF(ISNUMBER(E65)=FALSE,"Error 1.2",IF(E65&lt;0,"Error 1.3","")))))</f>
        <v>#REF!</v>
      </c>
      <c r="Z65" s="394" t="e">
        <f>IF(AND(F65="",#REF!&lt;&gt;"*"),"",IF(AND(F65="",#REF!="*"),"Error 1.1",IF(F65="*","Warning 1.1",IF(ISNUMBER(F65)=FALSE,"Error 1.2",IF(F65&lt;0,"Error 1.3","")))))</f>
        <v>#REF!</v>
      </c>
      <c r="AA65" s="394">
        <f t="shared" si="0"/>
      </c>
      <c r="AB65" s="394" t="e">
        <f>IF(AND(H65="",#REF!&lt;&gt;"*"),"",IF(AND(H65="",#REF!="*"),"Error 1.1",IF(H65="*","Warning 1.1",IF(ISNUMBER(H65)=FALSE,"Error 1.2",IF(H65&lt;0,"Error 1.3","")))))</f>
        <v>#REF!</v>
      </c>
      <c r="AC65" s="394">
        <f t="shared" si="1"/>
      </c>
      <c r="AE65" s="338" t="e">
        <f t="shared" si="2"/>
        <v>#REF!</v>
      </c>
    </row>
    <row r="66" spans="1:31" ht="12.75" customHeight="1" thickBot="1">
      <c r="A66" s="406">
        <v>43</v>
      </c>
      <c r="B66" s="387" t="s">
        <v>393</v>
      </c>
      <c r="C66" s="388"/>
      <c r="D66" s="396">
        <f>SUM(D61:D65)</f>
        <v>0</v>
      </c>
      <c r="E66" s="396">
        <f>SUM(E61:E65)</f>
        <v>0</v>
      </c>
      <c r="F66" s="396">
        <f>SUM(F61:F65)</f>
        <v>8660910</v>
      </c>
      <c r="G66" s="397">
        <f t="shared" si="7"/>
        <v>8660910</v>
      </c>
      <c r="H66" s="396">
        <f>SUM(H61:H65)</f>
        <v>785555</v>
      </c>
      <c r="I66" s="397">
        <f t="shared" si="8"/>
        <v>7875355</v>
      </c>
      <c r="U66" s="406">
        <v>43</v>
      </c>
      <c r="V66" s="387" t="s">
        <v>393</v>
      </c>
      <c r="W66" s="388"/>
      <c r="X66" s="394" t="e">
        <f>IF(AND(D66="",#REF!&lt;&gt;"*"),"",IF(AND(D66="",#REF!="*"),"Error 1.1",IF(D66="*","Warning 1.1",IF(ISNUMBER(D66)=FALSE,"Error 1.2",IF(D66&lt;0,"Error 1.3","")))))</f>
        <v>#REF!</v>
      </c>
      <c r="Y66" s="394" t="e">
        <f>IF(AND(E66="",#REF!&lt;&gt;"*"),"",IF(AND(E66="",#REF!="*"),"Error 1.1",IF(E66="*","Warning 1.1",IF(ISNUMBER(E66)=FALSE,"Error 1.2",IF(E66&lt;0,"Error 1.3","")))))</f>
        <v>#REF!</v>
      </c>
      <c r="Z66" s="394" t="e">
        <f>IF(AND(F66="",#REF!&lt;&gt;"*"),"",IF(AND(F66="",#REF!="*"),"Error 1.1",IF(F66="*","Warning 1.1",IF(ISNUMBER(F66)=FALSE,"Error 1.2",IF(F66&lt;0,"Error 1.3","")))))</f>
        <v>#REF!</v>
      </c>
      <c r="AA66" s="394">
        <f t="shared" si="0"/>
      </c>
      <c r="AB66" s="394" t="e">
        <f>IF(AND(H66="",#REF!&lt;&gt;"*"),"",IF(AND(H66="",#REF!="*"),"Error 1.1",IF(H66="*","Warning 1.1",IF(ISNUMBER(H66)=FALSE,"Error 1.2",IF(H66&lt;0,"Error 1.3","")))))</f>
        <v>#REF!</v>
      </c>
      <c r="AC66" s="394">
        <f t="shared" si="1"/>
      </c>
      <c r="AE66" s="338" t="e">
        <f t="shared" si="2"/>
        <v>#REF!</v>
      </c>
    </row>
    <row r="67" spans="1:29" ht="12.75" customHeight="1" thickBot="1">
      <c r="A67" s="408"/>
      <c r="B67" s="388"/>
      <c r="C67" s="388"/>
      <c r="D67" s="408"/>
      <c r="E67" s="408"/>
      <c r="F67" s="408"/>
      <c r="G67" s="402"/>
      <c r="H67" s="403"/>
      <c r="I67" s="402"/>
      <c r="U67" s="408"/>
      <c r="V67" s="388"/>
      <c r="W67" s="388"/>
      <c r="X67" s="416"/>
      <c r="Y67" s="416"/>
      <c r="Z67" s="416"/>
      <c r="AA67" s="416"/>
      <c r="AB67" s="416"/>
      <c r="AC67" s="416"/>
    </row>
    <row r="68" spans="1:31" ht="12.75" customHeight="1" thickBot="1">
      <c r="A68" s="406">
        <v>44</v>
      </c>
      <c r="B68" s="388" t="s">
        <v>394</v>
      </c>
      <c r="C68" s="388"/>
      <c r="D68" s="417">
        <v>0</v>
      </c>
      <c r="E68" s="417">
        <v>0</v>
      </c>
      <c r="F68" s="417">
        <v>3755</v>
      </c>
      <c r="G68" s="397">
        <f>SUM(D68:F68)</f>
        <v>3755</v>
      </c>
      <c r="H68" s="417">
        <v>0</v>
      </c>
      <c r="I68" s="397">
        <f>G68-H68</f>
        <v>3755</v>
      </c>
      <c r="U68" s="406">
        <v>44</v>
      </c>
      <c r="V68" s="388" t="s">
        <v>394</v>
      </c>
      <c r="W68" s="388"/>
      <c r="X68" s="394" t="e">
        <f>IF(AND(D68="",#REF!&lt;&gt;"*"),"",IF(AND(D68="",#REF!="*"),"Error 1.1",IF(D68="*","Warning 1.1",IF(ISNUMBER(D68)=FALSE,"Error 1.2",IF(D68&lt;0,"Error 1.3","")))))</f>
        <v>#REF!</v>
      </c>
      <c r="Y68" s="394" t="e">
        <f>IF(AND(E68="",#REF!&lt;&gt;"*"),"",IF(AND(E68="",#REF!="*"),"Error 1.1",IF(E68="*","Warning 1.1",IF(ISNUMBER(E68)=FALSE,"Error 1.2",IF(E68&lt;0,"Error 1.3","")))))</f>
        <v>#REF!</v>
      </c>
      <c r="Z68" s="394" t="e">
        <f>IF(AND(F68="",#REF!&lt;&gt;"*"),"",IF(AND(F68="",#REF!="*"),"Error 1.1",IF(F68="*","Warning 1.1",IF(ISNUMBER(F68)=FALSE,"Error 1.2",IF(F68&lt;0,"Error 1.3","")))))</f>
        <v>#REF!</v>
      </c>
      <c r="AA68" s="394">
        <f t="shared" si="0"/>
      </c>
      <c r="AB68" s="394" t="e">
        <f>IF(AND(H68="",#REF!&lt;&gt;"*"),"",IF(AND(H68="",#REF!="*"),"Error 1.1",IF(H68="*","Warning 1.1",IF(ISNUMBER(H68)=FALSE,"Error 1.2",IF(H68&lt;0,"Error 1.3","")))))</f>
        <v>#REF!</v>
      </c>
      <c r="AC68" s="394">
        <f t="shared" si="1"/>
      </c>
      <c r="AE68" s="338" t="e">
        <f t="shared" si="2"/>
        <v>#REF!</v>
      </c>
    </row>
    <row r="69" spans="1:29" ht="12.75" customHeight="1">
      <c r="A69" s="408"/>
      <c r="B69" s="388"/>
      <c r="C69" s="388"/>
      <c r="D69" s="418"/>
      <c r="E69" s="408"/>
      <c r="F69" s="408"/>
      <c r="G69" s="408"/>
      <c r="H69" s="414"/>
      <c r="I69" s="412"/>
      <c r="U69" s="408"/>
      <c r="V69" s="388"/>
      <c r="W69" s="388"/>
      <c r="X69" s="388"/>
      <c r="Y69" s="388"/>
      <c r="Z69" s="388"/>
      <c r="AA69" s="416"/>
      <c r="AB69" s="416"/>
      <c r="AC69" s="416"/>
    </row>
    <row r="70" spans="1:31" ht="12.75" customHeight="1">
      <c r="A70" s="389">
        <v>45</v>
      </c>
      <c r="B70" s="388" t="s">
        <v>395</v>
      </c>
      <c r="C70" s="419"/>
      <c r="D70" s="403"/>
      <c r="E70" s="403"/>
      <c r="F70" s="403"/>
      <c r="G70" s="420">
        <v>0</v>
      </c>
      <c r="H70" s="420">
        <v>0</v>
      </c>
      <c r="I70" s="421">
        <f>G70-H70</f>
        <v>0</v>
      </c>
      <c r="U70" s="389">
        <v>45</v>
      </c>
      <c r="V70" s="388" t="s">
        <v>395</v>
      </c>
      <c r="W70" s="419"/>
      <c r="X70" s="419"/>
      <c r="Y70" s="419"/>
      <c r="Z70" s="419"/>
      <c r="AA70" s="394" t="e">
        <f>IF(AND(G70="",#REF!&lt;&gt;"*"),"",IF(AND(G70="",#REF!="*"),"Error 1.1",IF(G70&lt;0,"Error 1.3","")))</f>
        <v>#REF!</v>
      </c>
      <c r="AB70" s="394" t="e">
        <f>IF(AND(H70="",#REF!&lt;&gt;"*"),"",IF(AND(H70="",#REF!="*"),"Error 1.1",IF(H70="*","Warning 1.1",IF(ISNUMBER(H70)=FALSE,"Error 1.2",IF(H70&lt;0,"Error 1.3","")))))</f>
        <v>#REF!</v>
      </c>
      <c r="AC70" s="394">
        <f t="shared" si="1"/>
      </c>
      <c r="AE70" s="338" t="e">
        <f t="shared" si="2"/>
        <v>#REF!</v>
      </c>
    </row>
    <row r="71" spans="1:29" ht="12.75" customHeight="1" thickBot="1">
      <c r="A71" s="388"/>
      <c r="B71" s="388"/>
      <c r="C71" s="388"/>
      <c r="D71" s="408"/>
      <c r="E71" s="408"/>
      <c r="F71" s="408"/>
      <c r="G71" s="408"/>
      <c r="H71" s="422"/>
      <c r="I71" s="413"/>
      <c r="U71" s="388"/>
      <c r="V71" s="388"/>
      <c r="W71" s="388"/>
      <c r="X71" s="388"/>
      <c r="Y71" s="388"/>
      <c r="Z71" s="388"/>
      <c r="AA71" s="416"/>
      <c r="AB71" s="416"/>
      <c r="AC71" s="416"/>
    </row>
    <row r="72" spans="1:31" ht="12.75" customHeight="1" thickBot="1" thickTop="1">
      <c r="A72" s="411">
        <v>46</v>
      </c>
      <c r="B72" s="387" t="s">
        <v>396</v>
      </c>
      <c r="C72" s="388"/>
      <c r="D72" s="408"/>
      <c r="E72" s="408"/>
      <c r="F72" s="408"/>
      <c r="G72" s="423">
        <f>SUM(G14,G26,G34,G45,G52,G58,G66,G68)</f>
        <v>46505249.17</v>
      </c>
      <c r="H72" s="424">
        <f>SUM(H14,H26,H34,H45,H52,H58,H66,H68)</f>
        <v>16117712.329999998</v>
      </c>
      <c r="I72" s="425">
        <f>G72-H72</f>
        <v>30387536.840000004</v>
      </c>
      <c r="U72" s="411">
        <v>46</v>
      </c>
      <c r="V72" s="387" t="s">
        <v>397</v>
      </c>
      <c r="W72" s="388"/>
      <c r="X72" s="388"/>
      <c r="Y72" s="388"/>
      <c r="Z72" s="388"/>
      <c r="AA72" s="394">
        <f t="shared" si="0"/>
      </c>
      <c r="AB72" s="394" t="e">
        <f>IF(AND(H72="",#REF!&lt;&gt;"*"),"",IF(AND(H72="",#REF!="*"),"Error 1.1",IF(H72="*","Warning 1.1",IF(ISNUMBER(H72)=FALSE,"Error 1.2",IF(H72&lt;0,"Error 1.3","")))))</f>
        <v>#REF!</v>
      </c>
      <c r="AC72" s="394">
        <f t="shared" si="1"/>
      </c>
      <c r="AE72" s="338" t="e">
        <f t="shared" si="2"/>
        <v>#REF!</v>
      </c>
    </row>
    <row r="73" spans="1:9" ht="12.75" thickBot="1" thickTop="1">
      <c r="A73" s="340"/>
      <c r="B73" s="340"/>
      <c r="C73" s="340"/>
      <c r="D73" s="418"/>
      <c r="E73" s="418"/>
      <c r="F73" s="418"/>
      <c r="G73" s="418"/>
      <c r="H73" s="418"/>
      <c r="I73" s="418"/>
    </row>
    <row r="74" spans="1:31" ht="12.75" customHeight="1" thickBot="1" thickTop="1">
      <c r="A74" s="411">
        <v>47</v>
      </c>
      <c r="B74" s="387" t="s">
        <v>398</v>
      </c>
      <c r="C74" s="388"/>
      <c r="D74" s="408"/>
      <c r="E74" s="408"/>
      <c r="F74" s="408"/>
      <c r="G74" s="426">
        <f>SUM(G70,G72)</f>
        <v>46505249.17</v>
      </c>
      <c r="H74" s="426">
        <f>SUM(H70,H72)</f>
        <v>16117712.329999998</v>
      </c>
      <c r="I74" s="426">
        <f>SUM(I70,I72)</f>
        <v>30387536.840000004</v>
      </c>
      <c r="U74" s="411">
        <v>46</v>
      </c>
      <c r="V74" s="387" t="s">
        <v>397</v>
      </c>
      <c r="W74" s="388"/>
      <c r="X74" s="388"/>
      <c r="Y74" s="388"/>
      <c r="Z74" s="388"/>
      <c r="AA74" s="394">
        <f>IF(G74&lt;0,"Error 1.3","")</f>
      </c>
      <c r="AB74" s="394" t="e">
        <f>IF(AND(H74="",#REF!&lt;&gt;"*"),"",IF(AND(H74="",#REF!="*"),"Error 1.1",IF(H74="*","Warning 1.1",IF(ISNUMBER(H74)=FALSE,"Error 1.2",IF(H74&lt;0,"Error 1.3","")))))</f>
        <v>#REF!</v>
      </c>
      <c r="AC74" s="394">
        <f>IF(I74&lt;0,"Error 1.3","")</f>
      </c>
      <c r="AE74" s="338" t="e">
        <f t="shared" si="2"/>
        <v>#REF!</v>
      </c>
    </row>
    <row r="75" spans="1:9" ht="12" thickTop="1">
      <c r="A75" s="340"/>
      <c r="B75" s="340"/>
      <c r="C75" s="340"/>
      <c r="D75" s="340"/>
      <c r="E75" s="340"/>
      <c r="F75" s="340"/>
      <c r="G75" s="340"/>
      <c r="H75" s="340"/>
      <c r="I75" s="340"/>
    </row>
    <row r="76" spans="1:9" ht="11.25">
      <c r="A76" s="340"/>
      <c r="B76" s="340"/>
      <c r="C76" s="340"/>
      <c r="D76" s="340"/>
      <c r="E76" s="340"/>
      <c r="F76" s="340"/>
      <c r="G76" s="340"/>
      <c r="H76" s="340"/>
      <c r="I76" s="340"/>
    </row>
    <row r="77" spans="1:11" ht="11.25">
      <c r="A77" s="230" t="s">
        <v>399</v>
      </c>
      <c r="B77" s="56"/>
      <c r="C77" s="56"/>
      <c r="D77" s="56"/>
      <c r="E77" s="56"/>
      <c r="F77" s="56"/>
      <c r="G77" s="56"/>
      <c r="H77" s="56"/>
      <c r="I77" s="56"/>
      <c r="J77" s="56"/>
      <c r="K77" s="231"/>
    </row>
    <row r="78" spans="1:11" ht="11.25">
      <c r="A78" s="233" t="s">
        <v>189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5"/>
    </row>
    <row r="79" spans="1:11" ht="12.75">
      <c r="A79" s="318"/>
      <c r="B79" s="319"/>
      <c r="C79" s="319"/>
      <c r="D79" s="319"/>
      <c r="E79" s="319"/>
      <c r="F79" s="319"/>
      <c r="G79" s="319"/>
      <c r="H79" s="319"/>
      <c r="I79" s="319"/>
      <c r="J79" s="319"/>
      <c r="K79" s="320"/>
    </row>
    <row r="80" spans="1:11" ht="12.75">
      <c r="A80" s="324"/>
      <c r="B80" s="325"/>
      <c r="C80" s="325"/>
      <c r="D80" s="325"/>
      <c r="E80" s="325"/>
      <c r="F80" s="325"/>
      <c r="G80" s="325"/>
      <c r="H80" s="325"/>
      <c r="I80" s="325"/>
      <c r="J80" s="325"/>
      <c r="K80" s="326"/>
    </row>
    <row r="81" spans="1:11" ht="12.75">
      <c r="A81" s="324"/>
      <c r="B81" s="325"/>
      <c r="C81" s="325"/>
      <c r="D81" s="325"/>
      <c r="E81" s="325"/>
      <c r="F81" s="325"/>
      <c r="G81" s="325"/>
      <c r="H81" s="325"/>
      <c r="I81" s="325"/>
      <c r="J81" s="325"/>
      <c r="K81" s="326"/>
    </row>
    <row r="82" spans="1:11" ht="12.75">
      <c r="A82" s="324"/>
      <c r="B82" s="325"/>
      <c r="C82" s="325"/>
      <c r="D82" s="325"/>
      <c r="E82" s="325"/>
      <c r="F82" s="325"/>
      <c r="G82" s="325"/>
      <c r="H82" s="325"/>
      <c r="I82" s="325"/>
      <c r="J82" s="325"/>
      <c r="K82" s="326"/>
    </row>
    <row r="83" spans="1:11" ht="12.75">
      <c r="A83" s="324"/>
      <c r="B83" s="325"/>
      <c r="C83" s="325"/>
      <c r="D83" s="325"/>
      <c r="E83" s="325"/>
      <c r="F83" s="325"/>
      <c r="G83" s="325"/>
      <c r="H83" s="325"/>
      <c r="I83" s="325"/>
      <c r="J83" s="325"/>
      <c r="K83" s="326"/>
    </row>
    <row r="84" spans="1:11" ht="12.75">
      <c r="A84" s="324"/>
      <c r="B84" s="325"/>
      <c r="C84" s="325"/>
      <c r="D84" s="325"/>
      <c r="E84" s="325"/>
      <c r="F84" s="325"/>
      <c r="G84" s="325"/>
      <c r="H84" s="325"/>
      <c r="I84" s="325"/>
      <c r="J84" s="325"/>
      <c r="K84" s="326"/>
    </row>
    <row r="85" spans="1:11" ht="12.75">
      <c r="A85" s="324"/>
      <c r="B85" s="325"/>
      <c r="C85" s="325"/>
      <c r="D85" s="325"/>
      <c r="E85" s="325"/>
      <c r="F85" s="325"/>
      <c r="G85" s="325"/>
      <c r="H85" s="325"/>
      <c r="I85" s="325"/>
      <c r="J85" s="325"/>
      <c r="K85" s="326"/>
    </row>
    <row r="86" spans="1:11" ht="12.75">
      <c r="A86" s="324"/>
      <c r="B86" s="325"/>
      <c r="C86" s="325"/>
      <c r="D86" s="325"/>
      <c r="E86" s="325"/>
      <c r="F86" s="325"/>
      <c r="G86" s="325"/>
      <c r="H86" s="325"/>
      <c r="I86" s="325"/>
      <c r="J86" s="325"/>
      <c r="K86" s="326"/>
    </row>
    <row r="87" spans="1:11" ht="12.75">
      <c r="A87" s="324"/>
      <c r="B87" s="325"/>
      <c r="C87" s="325"/>
      <c r="D87" s="325"/>
      <c r="E87" s="325"/>
      <c r="F87" s="325"/>
      <c r="G87" s="325"/>
      <c r="H87" s="325"/>
      <c r="I87" s="325"/>
      <c r="J87" s="325"/>
      <c r="K87" s="326"/>
    </row>
    <row r="88" spans="1:11" ht="12.75">
      <c r="A88" s="324"/>
      <c r="B88" s="325"/>
      <c r="C88" s="325"/>
      <c r="D88" s="325"/>
      <c r="E88" s="325"/>
      <c r="F88" s="325"/>
      <c r="G88" s="325"/>
      <c r="H88" s="325"/>
      <c r="I88" s="325"/>
      <c r="J88" s="325"/>
      <c r="K88" s="326"/>
    </row>
    <row r="89" spans="1:11" ht="12.75">
      <c r="A89" s="324"/>
      <c r="B89" s="325"/>
      <c r="C89" s="325"/>
      <c r="D89" s="325"/>
      <c r="E89" s="325"/>
      <c r="F89" s="325"/>
      <c r="G89" s="325"/>
      <c r="H89" s="325"/>
      <c r="I89" s="325"/>
      <c r="J89" s="325"/>
      <c r="K89" s="326"/>
    </row>
    <row r="90" spans="1:11" ht="12.75">
      <c r="A90" s="324"/>
      <c r="B90" s="325"/>
      <c r="C90" s="325"/>
      <c r="D90" s="325"/>
      <c r="E90" s="325"/>
      <c r="F90" s="325"/>
      <c r="G90" s="325"/>
      <c r="H90" s="325"/>
      <c r="I90" s="325"/>
      <c r="J90" s="325"/>
      <c r="K90" s="326"/>
    </row>
    <row r="91" spans="1:11" ht="12.75">
      <c r="A91" s="324"/>
      <c r="B91" s="325"/>
      <c r="C91" s="325"/>
      <c r="D91" s="325"/>
      <c r="E91" s="325"/>
      <c r="F91" s="325"/>
      <c r="G91" s="325"/>
      <c r="H91" s="325"/>
      <c r="I91" s="325"/>
      <c r="J91" s="325"/>
      <c r="K91" s="326"/>
    </row>
    <row r="92" spans="1:11" ht="12.75">
      <c r="A92" s="324"/>
      <c r="B92" s="325"/>
      <c r="C92" s="325"/>
      <c r="D92" s="325"/>
      <c r="E92" s="325"/>
      <c r="F92" s="325"/>
      <c r="G92" s="325"/>
      <c r="H92" s="325"/>
      <c r="I92" s="325"/>
      <c r="J92" s="325"/>
      <c r="K92" s="326"/>
    </row>
    <row r="93" spans="1:11" ht="12.75">
      <c r="A93" s="324"/>
      <c r="B93" s="325"/>
      <c r="C93" s="325"/>
      <c r="D93" s="325"/>
      <c r="E93" s="325"/>
      <c r="F93" s="325"/>
      <c r="G93" s="325"/>
      <c r="H93" s="325"/>
      <c r="I93" s="325"/>
      <c r="J93" s="325"/>
      <c r="K93" s="326"/>
    </row>
    <row r="94" spans="1:11" ht="12.75">
      <c r="A94" s="324"/>
      <c r="B94" s="325"/>
      <c r="C94" s="325"/>
      <c r="D94" s="325"/>
      <c r="E94" s="325"/>
      <c r="F94" s="325"/>
      <c r="G94" s="325"/>
      <c r="H94" s="325"/>
      <c r="I94" s="325"/>
      <c r="J94" s="325"/>
      <c r="K94" s="326"/>
    </row>
    <row r="95" spans="1:11" ht="12.75">
      <c r="A95" s="324"/>
      <c r="B95" s="325"/>
      <c r="C95" s="325"/>
      <c r="D95" s="325"/>
      <c r="E95" s="325"/>
      <c r="F95" s="325"/>
      <c r="G95" s="325"/>
      <c r="H95" s="325"/>
      <c r="I95" s="325"/>
      <c r="J95" s="325"/>
      <c r="K95" s="326"/>
    </row>
    <row r="96" spans="1:11" ht="12.75">
      <c r="A96" s="324"/>
      <c r="B96" s="325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1:11" ht="12.75">
      <c r="A97" s="324"/>
      <c r="B97" s="325"/>
      <c r="C97" s="325"/>
      <c r="D97" s="325"/>
      <c r="E97" s="325"/>
      <c r="F97" s="325"/>
      <c r="G97" s="325"/>
      <c r="H97" s="325"/>
      <c r="I97" s="325"/>
      <c r="J97" s="325"/>
      <c r="K97" s="326"/>
    </row>
    <row r="98" spans="1:11" ht="12.75">
      <c r="A98" s="324"/>
      <c r="B98" s="325"/>
      <c r="C98" s="325"/>
      <c r="D98" s="325"/>
      <c r="E98" s="325"/>
      <c r="F98" s="325"/>
      <c r="G98" s="325"/>
      <c r="H98" s="325"/>
      <c r="I98" s="325"/>
      <c r="J98" s="325"/>
      <c r="K98" s="326"/>
    </row>
    <row r="99" spans="1:11" ht="12.75">
      <c r="A99" s="324"/>
      <c r="B99" s="325"/>
      <c r="C99" s="325"/>
      <c r="D99" s="325"/>
      <c r="E99" s="325"/>
      <c r="F99" s="325"/>
      <c r="G99" s="325"/>
      <c r="H99" s="325"/>
      <c r="I99" s="325"/>
      <c r="J99" s="325"/>
      <c r="K99" s="326"/>
    </row>
    <row r="100" spans="1:11" ht="12.75">
      <c r="A100" s="324"/>
      <c r="B100" s="325"/>
      <c r="C100" s="325"/>
      <c r="D100" s="325"/>
      <c r="E100" s="325"/>
      <c r="F100" s="325"/>
      <c r="G100" s="325"/>
      <c r="H100" s="325"/>
      <c r="I100" s="325"/>
      <c r="J100" s="325"/>
      <c r="K100" s="326"/>
    </row>
    <row r="101" spans="1:11" ht="12.75">
      <c r="A101" s="324"/>
      <c r="B101" s="325"/>
      <c r="C101" s="325"/>
      <c r="D101" s="325"/>
      <c r="E101" s="325"/>
      <c r="F101" s="325"/>
      <c r="G101" s="325"/>
      <c r="H101" s="325"/>
      <c r="I101" s="325"/>
      <c r="J101" s="325"/>
      <c r="K101" s="326"/>
    </row>
    <row r="102" spans="1:11" ht="12.75">
      <c r="A102" s="324"/>
      <c r="B102" s="325"/>
      <c r="C102" s="325"/>
      <c r="D102" s="325"/>
      <c r="E102" s="325"/>
      <c r="F102" s="325"/>
      <c r="G102" s="325"/>
      <c r="H102" s="325"/>
      <c r="I102" s="325"/>
      <c r="J102" s="325"/>
      <c r="K102" s="326"/>
    </row>
    <row r="103" spans="1:11" ht="12.75">
      <c r="A103" s="324"/>
      <c r="B103" s="325"/>
      <c r="C103" s="325"/>
      <c r="D103" s="325"/>
      <c r="E103" s="325"/>
      <c r="F103" s="325"/>
      <c r="G103" s="325"/>
      <c r="H103" s="325"/>
      <c r="I103" s="325"/>
      <c r="J103" s="325"/>
      <c r="K103" s="326"/>
    </row>
    <row r="104" spans="1:11" ht="12.75">
      <c r="A104" s="324"/>
      <c r="B104" s="325"/>
      <c r="C104" s="325"/>
      <c r="D104" s="325"/>
      <c r="E104" s="325"/>
      <c r="F104" s="325"/>
      <c r="G104" s="325"/>
      <c r="H104" s="325"/>
      <c r="I104" s="325"/>
      <c r="J104" s="325"/>
      <c r="K104" s="326"/>
    </row>
    <row r="105" spans="1:11" ht="12.75">
      <c r="A105" s="324"/>
      <c r="B105" s="325"/>
      <c r="C105" s="325"/>
      <c r="D105" s="325"/>
      <c r="E105" s="325"/>
      <c r="F105" s="325"/>
      <c r="G105" s="325"/>
      <c r="H105" s="325"/>
      <c r="I105" s="325"/>
      <c r="J105" s="325"/>
      <c r="K105" s="326"/>
    </row>
    <row r="106" spans="1:11" ht="12.75">
      <c r="A106" s="324"/>
      <c r="B106" s="325"/>
      <c r="C106" s="325"/>
      <c r="D106" s="325"/>
      <c r="E106" s="325"/>
      <c r="F106" s="325"/>
      <c r="G106" s="325"/>
      <c r="H106" s="325"/>
      <c r="I106" s="325"/>
      <c r="J106" s="325"/>
      <c r="K106" s="326"/>
    </row>
    <row r="107" spans="1:11" ht="12.75">
      <c r="A107" s="324"/>
      <c r="B107" s="325"/>
      <c r="C107" s="325"/>
      <c r="D107" s="325"/>
      <c r="E107" s="325"/>
      <c r="F107" s="325"/>
      <c r="G107" s="325"/>
      <c r="H107" s="325"/>
      <c r="I107" s="325"/>
      <c r="J107" s="325"/>
      <c r="K107" s="326"/>
    </row>
    <row r="108" spans="1:11" ht="12.75">
      <c r="A108" s="324"/>
      <c r="B108" s="325"/>
      <c r="C108" s="325"/>
      <c r="D108" s="325"/>
      <c r="E108" s="325"/>
      <c r="F108" s="325"/>
      <c r="G108" s="325"/>
      <c r="H108" s="325"/>
      <c r="I108" s="325"/>
      <c r="J108" s="325"/>
      <c r="K108" s="326"/>
    </row>
    <row r="109" spans="1:11" ht="12.75">
      <c r="A109" s="324"/>
      <c r="B109" s="325"/>
      <c r="C109" s="325"/>
      <c r="D109" s="325"/>
      <c r="E109" s="325"/>
      <c r="F109" s="325"/>
      <c r="G109" s="325"/>
      <c r="H109" s="325"/>
      <c r="I109" s="325"/>
      <c r="J109" s="325"/>
      <c r="K109" s="326"/>
    </row>
    <row r="110" spans="1:11" ht="12.75">
      <c r="A110" s="324"/>
      <c r="B110" s="325"/>
      <c r="C110" s="325"/>
      <c r="D110" s="325"/>
      <c r="E110" s="325"/>
      <c r="F110" s="325"/>
      <c r="G110" s="325"/>
      <c r="H110" s="325"/>
      <c r="I110" s="325"/>
      <c r="J110" s="325"/>
      <c r="K110" s="326"/>
    </row>
    <row r="111" spans="1:11" ht="12.75">
      <c r="A111" s="324"/>
      <c r="B111" s="325"/>
      <c r="C111" s="325"/>
      <c r="D111" s="325"/>
      <c r="E111" s="325"/>
      <c r="F111" s="325"/>
      <c r="G111" s="325"/>
      <c r="H111" s="325"/>
      <c r="I111" s="325"/>
      <c r="J111" s="325"/>
      <c r="K111" s="326"/>
    </row>
    <row r="112" spans="1:11" ht="12.75">
      <c r="A112" s="324"/>
      <c r="B112" s="325"/>
      <c r="C112" s="325"/>
      <c r="D112" s="325"/>
      <c r="E112" s="325"/>
      <c r="F112" s="325"/>
      <c r="G112" s="325"/>
      <c r="H112" s="325"/>
      <c r="I112" s="325"/>
      <c r="J112" s="325"/>
      <c r="K112" s="326"/>
    </row>
    <row r="113" spans="1:11" ht="12.75">
      <c r="A113" s="324"/>
      <c r="B113" s="325"/>
      <c r="C113" s="325"/>
      <c r="D113" s="325"/>
      <c r="E113" s="325"/>
      <c r="F113" s="325"/>
      <c r="G113" s="325"/>
      <c r="H113" s="325"/>
      <c r="I113" s="325"/>
      <c r="J113" s="325"/>
      <c r="K113" s="326"/>
    </row>
    <row r="114" spans="1:11" ht="12.75">
      <c r="A114" s="324"/>
      <c r="B114" s="325"/>
      <c r="C114" s="325"/>
      <c r="D114" s="325"/>
      <c r="E114" s="325"/>
      <c r="F114" s="325"/>
      <c r="G114" s="325"/>
      <c r="H114" s="325"/>
      <c r="I114" s="325"/>
      <c r="J114" s="325"/>
      <c r="K114" s="326"/>
    </row>
    <row r="115" spans="1:11" ht="12.75">
      <c r="A115" s="324"/>
      <c r="B115" s="325"/>
      <c r="C115" s="325"/>
      <c r="D115" s="325"/>
      <c r="E115" s="325"/>
      <c r="F115" s="325"/>
      <c r="G115" s="325"/>
      <c r="H115" s="325"/>
      <c r="I115" s="325"/>
      <c r="J115" s="325"/>
      <c r="K115" s="326"/>
    </row>
    <row r="116" spans="1:11" ht="12.75">
      <c r="A116" s="324"/>
      <c r="B116" s="325"/>
      <c r="C116" s="325"/>
      <c r="D116" s="325"/>
      <c r="E116" s="325"/>
      <c r="F116" s="325"/>
      <c r="G116" s="325"/>
      <c r="H116" s="325"/>
      <c r="I116" s="325"/>
      <c r="J116" s="325"/>
      <c r="K116" s="326"/>
    </row>
    <row r="117" spans="1:11" ht="12.75">
      <c r="A117" s="324"/>
      <c r="B117" s="325"/>
      <c r="C117" s="325"/>
      <c r="D117" s="325"/>
      <c r="E117" s="325"/>
      <c r="F117" s="325"/>
      <c r="G117" s="325"/>
      <c r="H117" s="325"/>
      <c r="I117" s="325"/>
      <c r="J117" s="325"/>
      <c r="K117" s="326"/>
    </row>
    <row r="118" spans="1:11" ht="12.75">
      <c r="A118" s="324"/>
      <c r="B118" s="325"/>
      <c r="C118" s="325"/>
      <c r="D118" s="325"/>
      <c r="E118" s="325"/>
      <c r="F118" s="325"/>
      <c r="G118" s="325"/>
      <c r="H118" s="325"/>
      <c r="I118" s="325"/>
      <c r="J118" s="325"/>
      <c r="K118" s="326"/>
    </row>
    <row r="119" spans="1:11" ht="12.75">
      <c r="A119" s="324"/>
      <c r="B119" s="325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1:11" ht="12.75">
      <c r="A120" s="324"/>
      <c r="B120" s="325"/>
      <c r="C120" s="325"/>
      <c r="D120" s="325"/>
      <c r="E120" s="325"/>
      <c r="F120" s="325"/>
      <c r="G120" s="325"/>
      <c r="H120" s="325"/>
      <c r="I120" s="325"/>
      <c r="J120" s="325"/>
      <c r="K120" s="326"/>
    </row>
    <row r="121" spans="1:11" ht="12.75">
      <c r="A121" s="324"/>
      <c r="B121" s="325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pans="1:11" ht="12.75">
      <c r="A122" s="332"/>
      <c r="B122" s="333"/>
      <c r="C122" s="333"/>
      <c r="D122" s="333"/>
      <c r="E122" s="333"/>
      <c r="F122" s="333"/>
      <c r="G122" s="333"/>
      <c r="H122" s="333"/>
      <c r="I122" s="333"/>
      <c r="J122" s="333"/>
      <c r="K122" s="334"/>
    </row>
  </sheetData>
  <mergeCells count="62">
    <mergeCell ref="A121:K121"/>
    <mergeCell ref="A122:K122"/>
    <mergeCell ref="A117:K117"/>
    <mergeCell ref="A118:K118"/>
    <mergeCell ref="A119:K119"/>
    <mergeCell ref="A120:K120"/>
    <mergeCell ref="A113:K113"/>
    <mergeCell ref="A114:K114"/>
    <mergeCell ref="A115:K115"/>
    <mergeCell ref="A116:K116"/>
    <mergeCell ref="A109:K109"/>
    <mergeCell ref="A110:K110"/>
    <mergeCell ref="A111:K111"/>
    <mergeCell ref="A112:K112"/>
    <mergeCell ref="A105:K105"/>
    <mergeCell ref="A106:K106"/>
    <mergeCell ref="A107:K107"/>
    <mergeCell ref="A108:K108"/>
    <mergeCell ref="A101:K101"/>
    <mergeCell ref="A102:K102"/>
    <mergeCell ref="A103:K103"/>
    <mergeCell ref="A104:K104"/>
    <mergeCell ref="A97:K97"/>
    <mergeCell ref="A98:K98"/>
    <mergeCell ref="A99:K99"/>
    <mergeCell ref="A100:K100"/>
    <mergeCell ref="A93:K93"/>
    <mergeCell ref="A94:K94"/>
    <mergeCell ref="A95:K95"/>
    <mergeCell ref="A96:K96"/>
    <mergeCell ref="A89:K89"/>
    <mergeCell ref="A90:K90"/>
    <mergeCell ref="A91:K91"/>
    <mergeCell ref="A92:K92"/>
    <mergeCell ref="A85:K85"/>
    <mergeCell ref="A86:K86"/>
    <mergeCell ref="A87:K87"/>
    <mergeCell ref="A88:K88"/>
    <mergeCell ref="A81:K81"/>
    <mergeCell ref="A82:K82"/>
    <mergeCell ref="A83:K83"/>
    <mergeCell ref="A84:K84"/>
    <mergeCell ref="A77:K77"/>
    <mergeCell ref="A78:K78"/>
    <mergeCell ref="A79:K79"/>
    <mergeCell ref="A80:K80"/>
    <mergeCell ref="Z6:Z7"/>
    <mergeCell ref="AA6:AA7"/>
    <mergeCell ref="AB6:AB7"/>
    <mergeCell ref="AC6:AC7"/>
    <mergeCell ref="H6:H7"/>
    <mergeCell ref="I6:I7"/>
    <mergeCell ref="X6:X7"/>
    <mergeCell ref="Y6:Y7"/>
    <mergeCell ref="D6:D7"/>
    <mergeCell ref="E6:E7"/>
    <mergeCell ref="F6:F7"/>
    <mergeCell ref="G6:G7"/>
    <mergeCell ref="E2:G2"/>
    <mergeCell ref="Y2:AA2"/>
    <mergeCell ref="G3:I3"/>
    <mergeCell ref="AA3:AC3"/>
  </mergeCells>
  <conditionalFormatting sqref="D72 D70 E70:F72 G71:I71 D74:F74 I30:I31">
    <cfRule type="expression" priority="1" dxfId="0" stopIfTrue="1">
      <formula>AND(LEFT(X30,1)="E",(D30)="")</formula>
    </cfRule>
    <cfRule type="expression" priority="2" dxfId="1" stopIfTrue="1">
      <formula>LEFT(X30,1)="E"</formula>
    </cfRule>
    <cfRule type="expression" priority="3" dxfId="3" stopIfTrue="1">
      <formula>LEFT(X30,1)="W"</formula>
    </cfRule>
  </conditionalFormatting>
  <conditionalFormatting sqref="D71">
    <cfRule type="expression" priority="4" dxfId="0" stopIfTrue="1">
      <formula>AND(LEFT(X69,1)="E",(D71)="")</formula>
    </cfRule>
    <cfRule type="expression" priority="5" dxfId="1" stopIfTrue="1">
      <formula>LEFT(X69,1)="E"</formula>
    </cfRule>
    <cfRule type="expression" priority="6" dxfId="3" stopIfTrue="1">
      <formula>LEFT(X69,1)="W"</formula>
    </cfRule>
  </conditionalFormatting>
  <conditionalFormatting sqref="D3">
    <cfRule type="expression" priority="7" dxfId="0" stopIfTrue="1">
      <formula>AND(LEFT(Y3,1)="E",(E3)="")</formula>
    </cfRule>
    <cfRule type="expression" priority="8" dxfId="1" stopIfTrue="1">
      <formula>LEFT(Y3,1)="E"</formula>
    </cfRule>
    <cfRule type="expression" priority="9" dxfId="3" stopIfTrue="1">
      <formula>LEFT(Y3,1)="W"</formula>
    </cfRule>
  </conditionalFormatting>
  <conditionalFormatting sqref="F3">
    <cfRule type="expression" priority="10" dxfId="0" stopIfTrue="1">
      <formula>AND(LEFT(AA3,1)="E",(G3)="")</formula>
    </cfRule>
    <cfRule type="expression" priority="11" dxfId="1" stopIfTrue="1">
      <formula>LEFT(AA3,1)="E"</formula>
    </cfRule>
    <cfRule type="expression" priority="12" dxfId="3" stopIfTrue="1">
      <formula>LEFT(AA3,1)="E"</formula>
    </cfRule>
  </conditionalFormatting>
  <conditionalFormatting sqref="E3:E4">
    <cfRule type="expression" priority="13" dxfId="0" stopIfTrue="1">
      <formula>AND(LEFT(Y3,1)="E",(E3)="")</formula>
    </cfRule>
    <cfRule type="expression" priority="14" dxfId="1" stopIfTrue="1">
      <formula>LEFT(Y3,1)="E"</formula>
    </cfRule>
    <cfRule type="expression" priority="15" dxfId="2" stopIfTrue="1">
      <formula>LEFT(Y11,1)="W"</formula>
    </cfRule>
  </conditionalFormatting>
  <conditionalFormatting sqref="G3:I3 I4">
    <cfRule type="expression" priority="16" dxfId="0" stopIfTrue="1">
      <formula>AND(LEFT(AA3,1)="E",(G3)="")</formula>
    </cfRule>
    <cfRule type="expression" priority="17" dxfId="1" stopIfTrue="1">
      <formula>LEFT(AA3,1)="E"</formula>
    </cfRule>
    <cfRule type="expression" priority="18" dxfId="2" stopIfTrue="1">
      <formula>LEFT(AA3,1)="W"</formula>
    </cfRule>
  </conditionalFormatting>
  <conditionalFormatting sqref="H4 D4">
    <cfRule type="expression" priority="19" dxfId="0" stopIfTrue="1">
      <formula>AND(LEFT(Y4,1)="E",(E4)="")</formula>
    </cfRule>
    <cfRule type="expression" priority="20" dxfId="1" stopIfTrue="1">
      <formula>LEFT(Y4,1)="E"</formula>
    </cfRule>
    <cfRule type="expression" priority="21" dxfId="2" stopIfTrue="1">
      <formula>LEFT(Y4,1)="W"</formula>
    </cfRule>
  </conditionalFormatting>
  <conditionalFormatting sqref="G4">
    <cfRule type="expression" priority="22" dxfId="0" stopIfTrue="1">
      <formula>AND(LEFT(AA4,1)="E",(G4)="")</formula>
    </cfRule>
    <cfRule type="expression" priority="23" dxfId="1" stopIfTrue="1">
      <formula>(LEFT(AA4,1)="E")</formula>
    </cfRule>
    <cfRule type="expression" priority="24" dxfId="2" stopIfTrue="1">
      <formula>(LEFT(AA4,1)="W")</formula>
    </cfRule>
  </conditionalFormatting>
  <conditionalFormatting sqref="F4">
    <cfRule type="expression" priority="25" dxfId="0" stopIfTrue="1">
      <formula>AND(LEFT(AA4,1)="E",(G3)="")</formula>
    </cfRule>
    <cfRule type="expression" priority="26" dxfId="1" stopIfTrue="1">
      <formula>(LEFT(AA4,1)="E")</formula>
    </cfRule>
    <cfRule type="expression" priority="27" dxfId="2" stopIfTrue="1">
      <formula>(LEFT(AA4,1)="W")</formula>
    </cfRule>
  </conditionalFormatting>
  <conditionalFormatting sqref="D11:I14 I32:I33 D30:F34 G34:I34 G30:H33 D37:I45 G66:I66 G70:I70 G72:I72 G74:I74 I62:I65 G61:H65 D17:I26 D68:I68 D61:F66 D48:I52 D55:I58">
    <cfRule type="expression" priority="28" dxfId="0" stopIfTrue="1">
      <formula>AND(LEFT(X11,1)="E",(D11)="")</formula>
    </cfRule>
    <cfRule type="expression" priority="29" dxfId="1" stopIfTrue="1">
      <formula>LEFT(X11,1)="E"</formula>
    </cfRule>
    <cfRule type="expression" priority="30" dxfId="2" stopIfTrue="1">
      <formula>LEFT(X11,1)="W"</formula>
    </cfRule>
  </conditionalFormatting>
  <conditionalFormatting sqref="I61">
    <cfRule type="expression" priority="31" dxfId="0" stopIfTrue="1">
      <formula>AND(LEFT(AC61,1)="E",(I61)="")</formula>
    </cfRule>
    <cfRule type="expression" priority="32" dxfId="1" stopIfTrue="1">
      <formula>LEFT(AC61,1)="E"</formula>
    </cfRule>
    <cfRule type="expression" priority="33" dxfId="2" stopIfTrue="1">
      <formula>LEFT(AC61,1)="W"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67"/>
  <sheetViews>
    <sheetView workbookViewId="0" topLeftCell="A1">
      <selection activeCell="B25" sqref="B25"/>
    </sheetView>
  </sheetViews>
  <sheetFormatPr defaultColWidth="9.140625" defaultRowHeight="12.75"/>
  <cols>
    <col min="1" max="1" width="7.57421875" style="257" customWidth="1"/>
    <col min="2" max="2" width="39.8515625" style="257" customWidth="1"/>
    <col min="3" max="3" width="11.140625" style="257" customWidth="1"/>
    <col min="4" max="4" width="11.28125" style="257" customWidth="1"/>
    <col min="5" max="6" width="11.421875" style="257" customWidth="1"/>
    <col min="7" max="8" width="11.28125" style="257" customWidth="1"/>
    <col min="9" max="10" width="11.421875" style="257" customWidth="1"/>
    <col min="11" max="13" width="11.7109375" style="257" customWidth="1"/>
    <col min="14" max="14" width="11.57421875" style="257" customWidth="1"/>
    <col min="15" max="21" width="11.7109375" style="257" customWidth="1"/>
    <col min="22" max="23" width="9.140625" style="257" customWidth="1"/>
    <col min="24" max="24" width="8.57421875" style="257" hidden="1" customWidth="1"/>
    <col min="25" max="25" width="9.140625" style="257" customWidth="1"/>
    <col min="26" max="36" width="10.28125" style="257" customWidth="1"/>
    <col min="37" max="16384" width="9.140625" style="257" customWidth="1"/>
  </cols>
  <sheetData>
    <row r="1" spans="1:24" ht="13.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X1" s="259">
        <f>IF(ISERROR(SUM(X3:X120)),1,SUM(X3:X120))</f>
        <v>1</v>
      </c>
    </row>
    <row r="2" spans="2:24" ht="12.75">
      <c r="B2" s="260" t="s">
        <v>0</v>
      </c>
      <c r="C2" s="261"/>
      <c r="D2" s="262"/>
      <c r="F2" s="263" t="s">
        <v>1</v>
      </c>
      <c r="G2" s="264" t="s">
        <v>2</v>
      </c>
      <c r="H2" s="265"/>
      <c r="I2" s="265"/>
      <c r="J2" s="265"/>
      <c r="K2" s="266"/>
      <c r="L2" s="267" t="s">
        <v>3</v>
      </c>
      <c r="M2" s="268"/>
      <c r="N2" s="264">
        <v>312</v>
      </c>
      <c r="O2" s="266"/>
      <c r="P2" s="269"/>
      <c r="Q2" s="269"/>
      <c r="R2" s="269"/>
      <c r="S2" s="269"/>
      <c r="T2" s="269"/>
      <c r="U2" s="269"/>
      <c r="X2" s="270"/>
    </row>
    <row r="3" spans="2:24" ht="12.75">
      <c r="B3" s="271" t="s">
        <v>4</v>
      </c>
      <c r="C3" s="272"/>
      <c r="D3" s="262"/>
      <c r="F3" s="263" t="s">
        <v>5</v>
      </c>
      <c r="G3" s="273"/>
      <c r="H3" s="274"/>
      <c r="I3" s="275"/>
      <c r="J3" s="276"/>
      <c r="K3" s="277"/>
      <c r="L3" s="278"/>
      <c r="M3" s="278"/>
      <c r="N3" s="278"/>
      <c r="O3" s="279"/>
      <c r="P3" s="280"/>
      <c r="Q3" s="280"/>
      <c r="R3" s="280"/>
      <c r="S3" s="280"/>
      <c r="T3" s="280"/>
      <c r="U3" s="280"/>
      <c r="X3" s="281" t="e">
        <f>IF(LEN(TRIM(#REF!&amp;#REF!))&gt;0,1,0)</f>
        <v>#REF!</v>
      </c>
    </row>
    <row r="4" spans="2:24" ht="13.5" thickBot="1">
      <c r="B4" s="282" t="s">
        <v>191</v>
      </c>
      <c r="C4" s="283"/>
      <c r="D4" s="262"/>
      <c r="F4" s="263" t="s">
        <v>8</v>
      </c>
      <c r="G4" s="284"/>
      <c r="H4" s="278"/>
      <c r="I4" s="279"/>
      <c r="J4" s="263"/>
      <c r="K4" s="285"/>
      <c r="L4" s="267"/>
      <c r="M4" s="268"/>
      <c r="N4" s="286"/>
      <c r="O4" s="275"/>
      <c r="P4" s="269"/>
      <c r="Q4" s="269"/>
      <c r="R4" s="269"/>
      <c r="S4" s="269"/>
      <c r="T4" s="269"/>
      <c r="U4" s="269"/>
      <c r="X4" s="281" t="e">
        <f>IF(LEN(TRIM(#REF!&amp;#REF!&amp;#REF!))&gt;0,1,0)</f>
        <v>#REF!</v>
      </c>
    </row>
    <row r="5" spans="1:24" ht="12.7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X5" s="287"/>
    </row>
    <row r="6" spans="1:24" ht="60" customHeight="1">
      <c r="A6" s="288" t="s">
        <v>192</v>
      </c>
      <c r="B6" s="289" t="s">
        <v>193</v>
      </c>
      <c r="C6" s="290" t="s">
        <v>194</v>
      </c>
      <c r="D6" s="291" t="s">
        <v>195</v>
      </c>
      <c r="E6" s="291" t="s">
        <v>196</v>
      </c>
      <c r="F6" s="291" t="s">
        <v>197</v>
      </c>
      <c r="G6" s="291" t="s">
        <v>198</v>
      </c>
      <c r="H6" s="291" t="s">
        <v>199</v>
      </c>
      <c r="I6" s="291" t="s">
        <v>200</v>
      </c>
      <c r="J6" s="291" t="s">
        <v>201</v>
      </c>
      <c r="K6" s="291" t="s">
        <v>202</v>
      </c>
      <c r="L6" s="291" t="s">
        <v>203</v>
      </c>
      <c r="M6" s="291" t="s">
        <v>204</v>
      </c>
      <c r="N6" s="291" t="s">
        <v>205</v>
      </c>
      <c r="O6" s="292" t="s">
        <v>206</v>
      </c>
      <c r="P6" s="291" t="s">
        <v>207</v>
      </c>
      <c r="Q6" s="291" t="s">
        <v>208</v>
      </c>
      <c r="R6" s="291" t="s">
        <v>209</v>
      </c>
      <c r="S6" s="291" t="s">
        <v>210</v>
      </c>
      <c r="T6" s="291" t="s">
        <v>211</v>
      </c>
      <c r="U6" s="291" t="s">
        <v>212</v>
      </c>
      <c r="X6" s="293"/>
    </row>
    <row r="7" spans="1:24" ht="60" customHeight="1">
      <c r="A7" s="294"/>
      <c r="B7" s="295"/>
      <c r="C7" s="288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7"/>
      <c r="P7" s="296"/>
      <c r="Q7" s="296"/>
      <c r="R7" s="296"/>
      <c r="S7" s="296"/>
      <c r="T7" s="298"/>
      <c r="U7" s="296"/>
      <c r="X7" s="293"/>
    </row>
    <row r="8" spans="1:24" ht="12.75">
      <c r="A8" s="299"/>
      <c r="C8" s="300" t="s">
        <v>213</v>
      </c>
      <c r="D8" s="300" t="s">
        <v>21</v>
      </c>
      <c r="E8" s="300" t="s">
        <v>21</v>
      </c>
      <c r="F8" s="300" t="s">
        <v>21</v>
      </c>
      <c r="G8" s="300" t="s">
        <v>21</v>
      </c>
      <c r="H8" s="300" t="s">
        <v>21</v>
      </c>
      <c r="I8" s="300" t="s">
        <v>21</v>
      </c>
      <c r="J8" s="300" t="s">
        <v>21</v>
      </c>
      <c r="K8" s="300" t="s">
        <v>21</v>
      </c>
      <c r="L8" s="300" t="s">
        <v>21</v>
      </c>
      <c r="M8" s="300" t="s">
        <v>21</v>
      </c>
      <c r="N8" s="300" t="s">
        <v>21</v>
      </c>
      <c r="O8" s="300" t="s">
        <v>21</v>
      </c>
      <c r="P8" s="300" t="s">
        <v>21</v>
      </c>
      <c r="Q8" s="300" t="s">
        <v>21</v>
      </c>
      <c r="R8" s="300" t="s">
        <v>21</v>
      </c>
      <c r="S8" s="300" t="s">
        <v>21</v>
      </c>
      <c r="T8" s="300" t="s">
        <v>21</v>
      </c>
      <c r="U8" s="300" t="s">
        <v>21</v>
      </c>
      <c r="X8" s="293"/>
    </row>
    <row r="9" spans="2:24" ht="12.75">
      <c r="B9" s="301" t="s">
        <v>214</v>
      </c>
      <c r="C9" s="301" t="s">
        <v>215</v>
      </c>
      <c r="D9" s="302" t="s">
        <v>216</v>
      </c>
      <c r="E9" s="302" t="s">
        <v>217</v>
      </c>
      <c r="F9" s="302" t="s">
        <v>218</v>
      </c>
      <c r="G9" s="302" t="s">
        <v>219</v>
      </c>
      <c r="H9" s="302" t="s">
        <v>220</v>
      </c>
      <c r="I9" s="302" t="s">
        <v>221</v>
      </c>
      <c r="J9" s="302" t="s">
        <v>222</v>
      </c>
      <c r="K9" s="301" t="s">
        <v>223</v>
      </c>
      <c r="L9" s="301" t="s">
        <v>224</v>
      </c>
      <c r="M9" s="301" t="s">
        <v>225</v>
      </c>
      <c r="N9" s="301" t="s">
        <v>226</v>
      </c>
      <c r="O9" s="301" t="s">
        <v>227</v>
      </c>
      <c r="P9" s="301" t="s">
        <v>228</v>
      </c>
      <c r="Q9" s="301" t="s">
        <v>229</v>
      </c>
      <c r="R9" s="301" t="s">
        <v>230</v>
      </c>
      <c r="S9" s="301" t="s">
        <v>231</v>
      </c>
      <c r="T9" s="301" t="s">
        <v>232</v>
      </c>
      <c r="U9" s="301" t="s">
        <v>233</v>
      </c>
      <c r="X9" s="293"/>
    </row>
    <row r="10" spans="2:24" ht="13.5" thickBot="1">
      <c r="B10" s="303" t="s">
        <v>234</v>
      </c>
      <c r="X10" s="304"/>
    </row>
    <row r="11" spans="1:24" ht="13.5" thickBot="1">
      <c r="A11" s="305"/>
      <c r="B11" s="306" t="s">
        <v>235</v>
      </c>
      <c r="C11" s="307">
        <v>1000</v>
      </c>
      <c r="D11" s="308">
        <v>23846.32</v>
      </c>
      <c r="E11" s="308">
        <v>4254.45</v>
      </c>
      <c r="F11" s="308">
        <v>351482</v>
      </c>
      <c r="G11" s="308">
        <v>371796</v>
      </c>
      <c r="H11" s="308">
        <v>5084</v>
      </c>
      <c r="I11" s="308">
        <v>6286</v>
      </c>
      <c r="J11" s="309">
        <v>150000</v>
      </c>
      <c r="K11" s="308">
        <v>165354.25</v>
      </c>
      <c r="L11" s="310">
        <v>0</v>
      </c>
      <c r="M11" s="309">
        <v>0</v>
      </c>
      <c r="N11" s="309">
        <v>0</v>
      </c>
      <c r="O11" s="311">
        <f>SUM(D11:E11)+SUM(G11:N11)</f>
        <v>726621.02</v>
      </c>
      <c r="P11" s="308">
        <v>715497.26</v>
      </c>
      <c r="Q11" s="308">
        <v>4254.45</v>
      </c>
      <c r="R11" s="308">
        <v>0</v>
      </c>
      <c r="S11" s="308">
        <v>0</v>
      </c>
      <c r="T11" s="308">
        <v>6869.31</v>
      </c>
      <c r="U11" s="308">
        <v>0</v>
      </c>
      <c r="X11" s="281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12" ht="15" customHeight="1" thickBot="1">
      <c r="X12" s="270"/>
    </row>
    <row r="13" spans="2:24" ht="13.5" thickBot="1">
      <c r="B13" s="312" t="s">
        <v>236</v>
      </c>
      <c r="D13" s="313">
        <f aca="true" t="shared" si="0" ref="D13:K13">SUM(D11:D12)</f>
        <v>23846.32</v>
      </c>
      <c r="E13" s="313">
        <f t="shared" si="0"/>
        <v>4254.45</v>
      </c>
      <c r="F13" s="313">
        <f t="shared" si="0"/>
        <v>351482</v>
      </c>
      <c r="G13" s="313">
        <f t="shared" si="0"/>
        <v>371796</v>
      </c>
      <c r="H13" s="314">
        <f t="shared" si="0"/>
        <v>5084</v>
      </c>
      <c r="I13" s="313">
        <f t="shared" si="0"/>
        <v>6286</v>
      </c>
      <c r="J13" s="313">
        <f t="shared" si="0"/>
        <v>150000</v>
      </c>
      <c r="K13" s="313">
        <f t="shared" si="0"/>
        <v>165354.25</v>
      </c>
      <c r="L13" s="313">
        <f>SUM(L11:L12)</f>
        <v>0</v>
      </c>
      <c r="M13" s="313">
        <f>SUM(M11:M12)</f>
        <v>0</v>
      </c>
      <c r="N13" s="313">
        <f>SUM(N11:N12)</f>
        <v>0</v>
      </c>
      <c r="O13" s="313">
        <f>SUM(D13:E13)+SUM(G13:N13)</f>
        <v>726621.02</v>
      </c>
      <c r="P13" s="313">
        <f aca="true" t="shared" si="1" ref="P13:U13">SUM(P11:P12)</f>
        <v>715497.26</v>
      </c>
      <c r="Q13" s="313">
        <f t="shared" si="1"/>
        <v>4254.45</v>
      </c>
      <c r="R13" s="313">
        <f t="shared" si="1"/>
        <v>0</v>
      </c>
      <c r="S13" s="313">
        <f t="shared" si="1"/>
        <v>0</v>
      </c>
      <c r="T13" s="313">
        <f t="shared" si="1"/>
        <v>6869.31</v>
      </c>
      <c r="U13" s="313">
        <f t="shared" si="1"/>
        <v>0</v>
      </c>
      <c r="X13" s="281" t="e">
        <f>IF(LEN(TRIM(#REF!&amp;#REF!&amp;#REF!&amp;#REF!&amp;#REF!&amp;#REF!&amp;#REF!&amp;#REF!&amp;#REF!&amp;#REF!&amp;#REF!&amp;#REF!&amp;#REF!&amp;#REF!&amp;#REF!&amp;#REF!&amp;#REF!))&gt;0,1,0)</f>
        <v>#REF!</v>
      </c>
    </row>
    <row r="14" ht="12.75">
      <c r="X14" s="287"/>
    </row>
    <row r="15" spans="2:24" ht="13.5" thickBot="1">
      <c r="B15" s="303" t="s">
        <v>237</v>
      </c>
      <c r="X15" s="304"/>
    </row>
    <row r="16" spans="1:24" ht="13.5" thickBot="1">
      <c r="A16" s="305"/>
      <c r="B16" s="306" t="s">
        <v>238</v>
      </c>
      <c r="C16" s="307">
        <v>2000</v>
      </c>
      <c r="D16" s="308">
        <v>-10744.21</v>
      </c>
      <c r="E16" s="308">
        <v>0</v>
      </c>
      <c r="F16" s="308">
        <v>1744003.4837950065</v>
      </c>
      <c r="G16" s="308">
        <v>1710620</v>
      </c>
      <c r="H16" s="308">
        <v>175536</v>
      </c>
      <c r="I16" s="308">
        <v>113965</v>
      </c>
      <c r="J16" s="308">
        <v>190000</v>
      </c>
      <c r="K16" s="308">
        <v>77371.92</v>
      </c>
      <c r="L16" s="308">
        <v>0</v>
      </c>
      <c r="M16" s="309">
        <v>0</v>
      </c>
      <c r="N16" s="309">
        <v>0</v>
      </c>
      <c r="O16" s="311">
        <f aca="true" t="shared" si="2" ref="O16:O79">SUM(D16:E16)+SUM(G16:N16)</f>
        <v>2256748.71</v>
      </c>
      <c r="P16" s="310">
        <v>2229108.28</v>
      </c>
      <c r="Q16" s="308">
        <v>0</v>
      </c>
      <c r="R16" s="308">
        <v>0</v>
      </c>
      <c r="S16" s="308">
        <v>0</v>
      </c>
      <c r="T16" s="308">
        <v>27640.43</v>
      </c>
      <c r="U16" s="308">
        <v>0</v>
      </c>
      <c r="X16" s="281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17" spans="1:24" ht="13.5" thickBot="1">
      <c r="A17" s="305"/>
      <c r="B17" s="306" t="s">
        <v>239</v>
      </c>
      <c r="C17" s="307">
        <v>2003</v>
      </c>
      <c r="D17" s="308">
        <v>150664.79</v>
      </c>
      <c r="E17" s="308">
        <v>0</v>
      </c>
      <c r="F17" s="308">
        <v>784594.915686642</v>
      </c>
      <c r="G17" s="308">
        <v>759234</v>
      </c>
      <c r="H17" s="308">
        <v>72384</v>
      </c>
      <c r="I17" s="308">
        <v>25736</v>
      </c>
      <c r="J17" s="308">
        <v>0</v>
      </c>
      <c r="K17" s="308">
        <v>57057.97</v>
      </c>
      <c r="L17" s="308">
        <v>0</v>
      </c>
      <c r="M17" s="309">
        <v>0</v>
      </c>
      <c r="N17" s="309">
        <v>0</v>
      </c>
      <c r="O17" s="311">
        <f t="shared" si="2"/>
        <v>1065076.76</v>
      </c>
      <c r="P17" s="310">
        <v>1006327.5</v>
      </c>
      <c r="Q17" s="308">
        <v>0</v>
      </c>
      <c r="R17" s="308">
        <v>0</v>
      </c>
      <c r="S17" s="308">
        <v>0</v>
      </c>
      <c r="T17" s="308">
        <v>58749.26</v>
      </c>
      <c r="U17" s="308">
        <v>0</v>
      </c>
      <c r="X17" s="315"/>
    </row>
    <row r="18" spans="1:24" ht="13.5" thickBot="1">
      <c r="A18" s="305"/>
      <c r="B18" s="306" t="s">
        <v>240</v>
      </c>
      <c r="C18" s="307">
        <v>2004</v>
      </c>
      <c r="D18" s="308">
        <v>162201.2</v>
      </c>
      <c r="E18" s="308">
        <v>0</v>
      </c>
      <c r="F18" s="308">
        <v>1091133.6080413193</v>
      </c>
      <c r="G18" s="308">
        <v>1120635</v>
      </c>
      <c r="H18" s="308">
        <v>40506</v>
      </c>
      <c r="I18" s="308">
        <v>226609</v>
      </c>
      <c r="J18" s="308">
        <v>0</v>
      </c>
      <c r="K18" s="308">
        <v>62732.19</v>
      </c>
      <c r="L18" s="308">
        <v>0</v>
      </c>
      <c r="M18" s="309">
        <v>0</v>
      </c>
      <c r="N18" s="309">
        <v>0</v>
      </c>
      <c r="O18" s="311">
        <f t="shared" si="2"/>
        <v>1612683.39</v>
      </c>
      <c r="P18" s="310">
        <v>1371963.33</v>
      </c>
      <c r="Q18" s="308">
        <v>0</v>
      </c>
      <c r="R18" s="308">
        <v>141453.75</v>
      </c>
      <c r="S18" s="308">
        <v>18000</v>
      </c>
      <c r="T18" s="308">
        <v>81266.31</v>
      </c>
      <c r="U18" s="308">
        <v>0</v>
      </c>
      <c r="X18" s="315"/>
    </row>
    <row r="19" spans="1:24" ht="13.5" thickBot="1">
      <c r="A19" s="305"/>
      <c r="B19" s="306" t="s">
        <v>241</v>
      </c>
      <c r="C19" s="307">
        <v>2010</v>
      </c>
      <c r="D19" s="308">
        <v>218670.94</v>
      </c>
      <c r="E19" s="308">
        <v>11271.59</v>
      </c>
      <c r="F19" s="308">
        <v>1693237.4834549061</v>
      </c>
      <c r="G19" s="308">
        <v>1626967</v>
      </c>
      <c r="H19" s="308">
        <v>164696.39</v>
      </c>
      <c r="I19" s="308">
        <v>100170</v>
      </c>
      <c r="J19" s="308">
        <v>140000</v>
      </c>
      <c r="K19" s="308">
        <v>39118.7</v>
      </c>
      <c r="L19" s="308">
        <v>0</v>
      </c>
      <c r="M19" s="309">
        <v>0</v>
      </c>
      <c r="N19" s="309">
        <v>0</v>
      </c>
      <c r="O19" s="311">
        <f t="shared" si="2"/>
        <v>2300894.62</v>
      </c>
      <c r="P19" s="310">
        <v>2081106.1</v>
      </c>
      <c r="Q19" s="308">
        <v>10296</v>
      </c>
      <c r="R19" s="308">
        <v>0</v>
      </c>
      <c r="S19" s="308">
        <v>0</v>
      </c>
      <c r="T19" s="308">
        <v>208516.93</v>
      </c>
      <c r="U19" s="308">
        <v>975.59</v>
      </c>
      <c r="X19" s="315"/>
    </row>
    <row r="20" spans="1:24" ht="13.5" thickBot="1">
      <c r="A20" s="305"/>
      <c r="B20" s="306" t="s">
        <v>242</v>
      </c>
      <c r="C20" s="307">
        <v>2011</v>
      </c>
      <c r="D20" s="308">
        <v>87081.38</v>
      </c>
      <c r="E20" s="308">
        <v>0</v>
      </c>
      <c r="F20" s="308">
        <v>1071139.2626142858</v>
      </c>
      <c r="G20" s="308">
        <v>833981</v>
      </c>
      <c r="H20" s="308">
        <v>326050</v>
      </c>
      <c r="I20" s="308">
        <v>72908</v>
      </c>
      <c r="J20" s="308">
        <v>0</v>
      </c>
      <c r="K20" s="308">
        <v>189805.08</v>
      </c>
      <c r="L20" s="308">
        <v>0</v>
      </c>
      <c r="M20" s="309">
        <v>0</v>
      </c>
      <c r="N20" s="309">
        <v>0</v>
      </c>
      <c r="O20" s="311">
        <f t="shared" si="2"/>
        <v>1509825.46</v>
      </c>
      <c r="P20" s="310">
        <v>1494326.1</v>
      </c>
      <c r="Q20" s="308">
        <v>0</v>
      </c>
      <c r="R20" s="308">
        <v>0</v>
      </c>
      <c r="S20" s="308">
        <v>0</v>
      </c>
      <c r="T20" s="308">
        <v>15499.36</v>
      </c>
      <c r="U20" s="308">
        <v>0</v>
      </c>
      <c r="X20" s="315"/>
    </row>
    <row r="21" spans="1:24" ht="13.5" thickBot="1">
      <c r="A21" s="305"/>
      <c r="B21" s="306" t="s">
        <v>243</v>
      </c>
      <c r="C21" s="307">
        <v>2012</v>
      </c>
      <c r="D21" s="308">
        <v>101649.44</v>
      </c>
      <c r="E21" s="308">
        <v>-700</v>
      </c>
      <c r="F21" s="308">
        <v>891481.967650099</v>
      </c>
      <c r="G21" s="308">
        <v>719511.33</v>
      </c>
      <c r="H21" s="308">
        <v>223095</v>
      </c>
      <c r="I21" s="308">
        <v>29105</v>
      </c>
      <c r="J21" s="308">
        <v>0</v>
      </c>
      <c r="K21" s="308">
        <v>68784.18</v>
      </c>
      <c r="L21" s="308">
        <v>0</v>
      </c>
      <c r="M21" s="309">
        <v>0</v>
      </c>
      <c r="N21" s="309">
        <v>0</v>
      </c>
      <c r="O21" s="311">
        <f t="shared" si="2"/>
        <v>1141444.95</v>
      </c>
      <c r="P21" s="310">
        <v>1018606.59</v>
      </c>
      <c r="Q21" s="308">
        <v>0</v>
      </c>
      <c r="R21" s="308">
        <v>0</v>
      </c>
      <c r="S21" s="308">
        <v>0</v>
      </c>
      <c r="T21" s="308">
        <v>123538.36</v>
      </c>
      <c r="U21" s="308">
        <v>-700</v>
      </c>
      <c r="X21" s="315"/>
    </row>
    <row r="22" spans="1:24" ht="13.5" thickBot="1">
      <c r="A22" s="305"/>
      <c r="B22" s="306" t="s">
        <v>244</v>
      </c>
      <c r="C22" s="307">
        <v>2016</v>
      </c>
      <c r="D22" s="308">
        <v>190914.42</v>
      </c>
      <c r="E22" s="308">
        <v>0</v>
      </c>
      <c r="F22" s="308">
        <v>1789118.1916752825</v>
      </c>
      <c r="G22" s="308">
        <v>1552567.42</v>
      </c>
      <c r="H22" s="308">
        <v>367271</v>
      </c>
      <c r="I22" s="308">
        <v>57687</v>
      </c>
      <c r="J22" s="308">
        <v>0</v>
      </c>
      <c r="K22" s="308">
        <v>98119.56</v>
      </c>
      <c r="L22" s="308">
        <v>0</v>
      </c>
      <c r="M22" s="309">
        <v>0</v>
      </c>
      <c r="N22" s="309">
        <v>0</v>
      </c>
      <c r="O22" s="311">
        <f t="shared" si="2"/>
        <v>2266559.4</v>
      </c>
      <c r="P22" s="310">
        <v>2078222.26</v>
      </c>
      <c r="Q22" s="308">
        <v>0</v>
      </c>
      <c r="R22" s="308">
        <v>36772.18</v>
      </c>
      <c r="S22" s="308">
        <v>0</v>
      </c>
      <c r="T22" s="308">
        <v>151564.96</v>
      </c>
      <c r="U22" s="308">
        <v>0</v>
      </c>
      <c r="X22" s="315"/>
    </row>
    <row r="23" spans="1:24" ht="13.5" thickBot="1">
      <c r="A23" s="305"/>
      <c r="B23" s="306" t="s">
        <v>245</v>
      </c>
      <c r="C23" s="307">
        <v>2018</v>
      </c>
      <c r="D23" s="308">
        <v>55455.66</v>
      </c>
      <c r="E23" s="308">
        <v>0</v>
      </c>
      <c r="F23" s="308">
        <v>1123703.3726313491</v>
      </c>
      <c r="G23" s="308">
        <v>1140957</v>
      </c>
      <c r="H23" s="308">
        <v>68841.76</v>
      </c>
      <c r="I23" s="308">
        <v>60067</v>
      </c>
      <c r="J23" s="308">
        <v>1000</v>
      </c>
      <c r="K23" s="308">
        <v>40208.66</v>
      </c>
      <c r="L23" s="308">
        <v>0</v>
      </c>
      <c r="M23" s="309">
        <v>0</v>
      </c>
      <c r="N23" s="309">
        <v>0</v>
      </c>
      <c r="O23" s="311">
        <f t="shared" si="2"/>
        <v>1366530.0799999998</v>
      </c>
      <c r="P23" s="310">
        <v>1325174.47</v>
      </c>
      <c r="Q23" s="308">
        <v>0</v>
      </c>
      <c r="R23" s="308">
        <v>0</v>
      </c>
      <c r="S23" s="308">
        <v>3414</v>
      </c>
      <c r="T23" s="308">
        <v>37941.61</v>
      </c>
      <c r="U23" s="308">
        <v>0</v>
      </c>
      <c r="X23" s="315"/>
    </row>
    <row r="24" spans="1:24" ht="13.5" thickBot="1">
      <c r="A24" s="305"/>
      <c r="B24" s="306" t="s">
        <v>246</v>
      </c>
      <c r="C24" s="307">
        <v>2019</v>
      </c>
      <c r="D24" s="308">
        <v>61524.08</v>
      </c>
      <c r="E24" s="308">
        <v>0</v>
      </c>
      <c r="F24" s="308">
        <v>1100277.694490316</v>
      </c>
      <c r="G24" s="308">
        <v>1123343</v>
      </c>
      <c r="H24" s="308">
        <v>50993</v>
      </c>
      <c r="I24" s="308">
        <v>28597</v>
      </c>
      <c r="J24" s="308">
        <v>0</v>
      </c>
      <c r="K24" s="308">
        <v>42147.68</v>
      </c>
      <c r="L24" s="308">
        <v>0</v>
      </c>
      <c r="M24" s="309">
        <v>0</v>
      </c>
      <c r="N24" s="309">
        <v>0</v>
      </c>
      <c r="O24" s="311">
        <f t="shared" si="2"/>
        <v>1306604.76</v>
      </c>
      <c r="P24" s="310">
        <v>1230575.8</v>
      </c>
      <c r="Q24" s="308">
        <v>0</v>
      </c>
      <c r="R24" s="308">
        <v>0</v>
      </c>
      <c r="S24" s="308">
        <v>0</v>
      </c>
      <c r="T24" s="308">
        <v>76028.96</v>
      </c>
      <c r="U24" s="308">
        <v>0</v>
      </c>
      <c r="X24" s="315"/>
    </row>
    <row r="25" spans="1:24" ht="13.5" thickBot="1">
      <c r="A25" s="305"/>
      <c r="B25" s="306" t="s">
        <v>247</v>
      </c>
      <c r="C25" s="307">
        <v>2020</v>
      </c>
      <c r="D25" s="308">
        <v>8101.83</v>
      </c>
      <c r="E25" s="308">
        <v>0</v>
      </c>
      <c r="F25" s="308">
        <v>1255925.0350418962</v>
      </c>
      <c r="G25" s="308">
        <v>1114338</v>
      </c>
      <c r="H25" s="308">
        <v>227828</v>
      </c>
      <c r="I25" s="308">
        <v>48301</v>
      </c>
      <c r="J25" s="308">
        <v>0</v>
      </c>
      <c r="K25" s="308">
        <v>38873.43</v>
      </c>
      <c r="L25" s="308">
        <v>0</v>
      </c>
      <c r="M25" s="309">
        <v>0</v>
      </c>
      <c r="N25" s="309">
        <v>0</v>
      </c>
      <c r="O25" s="311">
        <f t="shared" si="2"/>
        <v>1437442.26</v>
      </c>
      <c r="P25" s="310">
        <v>1382403.29</v>
      </c>
      <c r="Q25" s="308">
        <v>0</v>
      </c>
      <c r="R25" s="308">
        <v>0</v>
      </c>
      <c r="S25" s="308">
        <v>0</v>
      </c>
      <c r="T25" s="308">
        <v>55038.97</v>
      </c>
      <c r="U25" s="308">
        <v>0</v>
      </c>
      <c r="X25" s="315"/>
    </row>
    <row r="26" spans="1:24" ht="13.5" thickBot="1">
      <c r="A26" s="305"/>
      <c r="B26" s="306" t="s">
        <v>248</v>
      </c>
      <c r="C26" s="307">
        <v>2023</v>
      </c>
      <c r="D26" s="308">
        <v>66240.42</v>
      </c>
      <c r="E26" s="308">
        <v>0</v>
      </c>
      <c r="F26" s="308">
        <v>824379.0463125022</v>
      </c>
      <c r="G26" s="308">
        <v>847011</v>
      </c>
      <c r="H26" s="308">
        <v>40916.2</v>
      </c>
      <c r="I26" s="308">
        <v>71833</v>
      </c>
      <c r="J26" s="308">
        <v>0</v>
      </c>
      <c r="K26" s="308">
        <v>42808.53</v>
      </c>
      <c r="L26" s="308">
        <v>0</v>
      </c>
      <c r="M26" s="309">
        <v>0</v>
      </c>
      <c r="N26" s="309">
        <v>0</v>
      </c>
      <c r="O26" s="311">
        <f t="shared" si="2"/>
        <v>1068809.15</v>
      </c>
      <c r="P26" s="310">
        <v>981090.61</v>
      </c>
      <c r="Q26" s="308">
        <v>0</v>
      </c>
      <c r="R26" s="308">
        <v>0</v>
      </c>
      <c r="S26" s="308">
        <v>24485</v>
      </c>
      <c r="T26" s="308">
        <v>63233.54</v>
      </c>
      <c r="U26" s="308">
        <v>0</v>
      </c>
      <c r="X26" s="315"/>
    </row>
    <row r="27" spans="1:24" ht="13.5" thickBot="1">
      <c r="A27" s="305"/>
      <c r="B27" s="306" t="s">
        <v>249</v>
      </c>
      <c r="C27" s="307">
        <v>2024</v>
      </c>
      <c r="D27" s="308">
        <v>91698.59</v>
      </c>
      <c r="E27" s="308">
        <v>0</v>
      </c>
      <c r="F27" s="308">
        <v>819559.9531099515</v>
      </c>
      <c r="G27" s="308">
        <v>814951</v>
      </c>
      <c r="H27" s="308">
        <v>53019</v>
      </c>
      <c r="I27" s="308">
        <v>15835</v>
      </c>
      <c r="J27" s="308">
        <v>180000</v>
      </c>
      <c r="K27" s="308">
        <v>12816.72</v>
      </c>
      <c r="L27" s="308">
        <v>0</v>
      </c>
      <c r="M27" s="309">
        <v>4777</v>
      </c>
      <c r="N27" s="309">
        <v>0</v>
      </c>
      <c r="O27" s="311">
        <f t="shared" si="2"/>
        <v>1173097.31</v>
      </c>
      <c r="P27" s="310">
        <v>1063529.55</v>
      </c>
      <c r="Q27" s="308">
        <v>4777</v>
      </c>
      <c r="R27" s="308">
        <v>0</v>
      </c>
      <c r="S27" s="308">
        <v>80787</v>
      </c>
      <c r="T27" s="308">
        <v>24003.76</v>
      </c>
      <c r="U27" s="308">
        <v>0</v>
      </c>
      <c r="X27" s="315"/>
    </row>
    <row r="28" spans="1:24" ht="13.5" thickBot="1">
      <c r="A28" s="305"/>
      <c r="B28" s="306" t="s">
        <v>250</v>
      </c>
      <c r="C28" s="307">
        <v>2025</v>
      </c>
      <c r="D28" s="308">
        <v>-4939.7</v>
      </c>
      <c r="E28" s="308">
        <v>0</v>
      </c>
      <c r="F28" s="308">
        <v>1199648.8616225175</v>
      </c>
      <c r="G28" s="308">
        <v>1183109</v>
      </c>
      <c r="H28" s="308">
        <v>99790.25</v>
      </c>
      <c r="I28" s="308">
        <v>35185</v>
      </c>
      <c r="J28" s="308">
        <v>0</v>
      </c>
      <c r="K28" s="308">
        <v>56868.69</v>
      </c>
      <c r="L28" s="308">
        <v>0</v>
      </c>
      <c r="M28" s="309">
        <v>0</v>
      </c>
      <c r="N28" s="309">
        <v>0</v>
      </c>
      <c r="O28" s="311">
        <f t="shared" si="2"/>
        <v>1370013.24</v>
      </c>
      <c r="P28" s="310">
        <v>1348464.37</v>
      </c>
      <c r="Q28" s="308">
        <v>0</v>
      </c>
      <c r="R28" s="308">
        <v>0</v>
      </c>
      <c r="S28" s="308">
        <v>0</v>
      </c>
      <c r="T28" s="308">
        <v>21548.87</v>
      </c>
      <c r="U28" s="308">
        <v>0</v>
      </c>
      <c r="X28" s="315"/>
    </row>
    <row r="29" spans="1:24" ht="13.5" thickBot="1">
      <c r="A29" s="305"/>
      <c r="B29" s="306" t="s">
        <v>251</v>
      </c>
      <c r="C29" s="307">
        <v>2026</v>
      </c>
      <c r="D29" s="308">
        <v>56444.48</v>
      </c>
      <c r="E29" s="308">
        <v>0</v>
      </c>
      <c r="F29" s="308">
        <v>826265.140051651</v>
      </c>
      <c r="G29" s="308">
        <v>823860.9</v>
      </c>
      <c r="H29" s="308">
        <v>61039</v>
      </c>
      <c r="I29" s="308">
        <v>34968</v>
      </c>
      <c r="J29" s="308">
        <v>0</v>
      </c>
      <c r="K29" s="308">
        <v>106401.08</v>
      </c>
      <c r="L29" s="308">
        <v>0</v>
      </c>
      <c r="M29" s="309">
        <v>0</v>
      </c>
      <c r="N29" s="309">
        <v>0</v>
      </c>
      <c r="O29" s="311">
        <f t="shared" si="2"/>
        <v>1082713.46</v>
      </c>
      <c r="P29" s="310">
        <v>990144.51</v>
      </c>
      <c r="Q29" s="308">
        <v>0</v>
      </c>
      <c r="R29" s="308">
        <v>0</v>
      </c>
      <c r="S29" s="308">
        <v>43849</v>
      </c>
      <c r="T29" s="308">
        <v>48719.95</v>
      </c>
      <c r="U29" s="308">
        <v>0</v>
      </c>
      <c r="X29" s="315"/>
    </row>
    <row r="30" spans="1:24" ht="13.5" thickBot="1">
      <c r="A30" s="305"/>
      <c r="B30" s="306" t="s">
        <v>252</v>
      </c>
      <c r="C30" s="307">
        <v>2029</v>
      </c>
      <c r="D30" s="308">
        <v>86396.24</v>
      </c>
      <c r="E30" s="308">
        <v>0</v>
      </c>
      <c r="F30" s="308">
        <v>999665.9177679557</v>
      </c>
      <c r="G30" s="308">
        <v>1009640</v>
      </c>
      <c r="H30" s="308">
        <v>57921</v>
      </c>
      <c r="I30" s="308">
        <v>29548</v>
      </c>
      <c r="J30" s="308">
        <v>0</v>
      </c>
      <c r="K30" s="308">
        <v>28376.49</v>
      </c>
      <c r="L30" s="308">
        <v>0</v>
      </c>
      <c r="M30" s="309">
        <v>0</v>
      </c>
      <c r="N30" s="309">
        <v>0</v>
      </c>
      <c r="O30" s="311">
        <f t="shared" si="2"/>
        <v>1211881.73</v>
      </c>
      <c r="P30" s="310">
        <v>1140183.98</v>
      </c>
      <c r="Q30" s="308">
        <v>0</v>
      </c>
      <c r="R30" s="308">
        <v>0</v>
      </c>
      <c r="S30" s="308">
        <v>0</v>
      </c>
      <c r="T30" s="308">
        <v>71697.75</v>
      </c>
      <c r="U30" s="308">
        <v>0</v>
      </c>
      <c r="X30" s="315"/>
    </row>
    <row r="31" spans="1:24" ht="13.5" thickBot="1">
      <c r="A31" s="305"/>
      <c r="B31" s="306" t="s">
        <v>253</v>
      </c>
      <c r="C31" s="307">
        <v>2032</v>
      </c>
      <c r="D31" s="308">
        <v>66554.09</v>
      </c>
      <c r="E31" s="308">
        <v>0</v>
      </c>
      <c r="F31" s="308">
        <v>887845.0793723981</v>
      </c>
      <c r="G31" s="308">
        <v>892489.62</v>
      </c>
      <c r="H31" s="308">
        <v>47996</v>
      </c>
      <c r="I31" s="308">
        <v>39531</v>
      </c>
      <c r="J31" s="308">
        <v>0</v>
      </c>
      <c r="K31" s="308">
        <v>119011.14</v>
      </c>
      <c r="L31" s="308">
        <v>0</v>
      </c>
      <c r="M31" s="309">
        <v>0</v>
      </c>
      <c r="N31" s="309">
        <v>2750</v>
      </c>
      <c r="O31" s="311">
        <f t="shared" si="2"/>
        <v>1168331.85</v>
      </c>
      <c r="P31" s="310">
        <v>1144321.09</v>
      </c>
      <c r="Q31" s="308">
        <v>2876.59</v>
      </c>
      <c r="R31" s="308">
        <v>0</v>
      </c>
      <c r="S31" s="308">
        <v>0</v>
      </c>
      <c r="T31" s="308">
        <v>21260.76</v>
      </c>
      <c r="U31" s="308">
        <v>-126.59</v>
      </c>
      <c r="X31" s="315"/>
    </row>
    <row r="32" spans="1:24" ht="13.5" thickBot="1">
      <c r="A32" s="305"/>
      <c r="B32" s="306" t="s">
        <v>254</v>
      </c>
      <c r="C32" s="307">
        <v>2033</v>
      </c>
      <c r="D32" s="308">
        <v>57549.83</v>
      </c>
      <c r="E32" s="308">
        <v>0</v>
      </c>
      <c r="F32" s="308">
        <v>1030722.6084078021</v>
      </c>
      <c r="G32" s="308">
        <v>1037457</v>
      </c>
      <c r="H32" s="308">
        <v>63944</v>
      </c>
      <c r="I32" s="308">
        <v>29018</v>
      </c>
      <c r="J32" s="308">
        <v>0</v>
      </c>
      <c r="K32" s="308">
        <v>28352.45</v>
      </c>
      <c r="L32" s="308">
        <v>0</v>
      </c>
      <c r="M32" s="309">
        <v>0</v>
      </c>
      <c r="N32" s="309">
        <v>0</v>
      </c>
      <c r="O32" s="311">
        <f t="shared" si="2"/>
        <v>1216321.28</v>
      </c>
      <c r="P32" s="310">
        <v>1140026.47</v>
      </c>
      <c r="Q32" s="308">
        <v>0</v>
      </c>
      <c r="R32" s="308">
        <v>2589</v>
      </c>
      <c r="S32" s="308">
        <v>0</v>
      </c>
      <c r="T32" s="308">
        <v>73705.81</v>
      </c>
      <c r="U32" s="308">
        <v>0</v>
      </c>
      <c r="X32" s="315"/>
    </row>
    <row r="33" spans="1:24" ht="13.5" thickBot="1">
      <c r="A33" s="305"/>
      <c r="B33" s="306" t="s">
        <v>255</v>
      </c>
      <c r="C33" s="307">
        <v>2034</v>
      </c>
      <c r="D33" s="308">
        <v>83490.74</v>
      </c>
      <c r="E33" s="308">
        <v>0</v>
      </c>
      <c r="F33" s="308">
        <v>822548.0362172902</v>
      </c>
      <c r="G33" s="308">
        <v>820242</v>
      </c>
      <c r="H33" s="308">
        <v>61994.53</v>
      </c>
      <c r="I33" s="308">
        <v>115463</v>
      </c>
      <c r="J33" s="308">
        <v>0</v>
      </c>
      <c r="K33" s="308">
        <v>167634.02</v>
      </c>
      <c r="L33" s="308">
        <v>0</v>
      </c>
      <c r="M33" s="309">
        <v>0</v>
      </c>
      <c r="N33" s="309">
        <v>0</v>
      </c>
      <c r="O33" s="311">
        <f t="shared" si="2"/>
        <v>1248824.29</v>
      </c>
      <c r="P33" s="310">
        <v>1201246.18</v>
      </c>
      <c r="Q33" s="308">
        <v>0</v>
      </c>
      <c r="R33" s="308">
        <v>0</v>
      </c>
      <c r="S33" s="308">
        <v>0</v>
      </c>
      <c r="T33" s="308">
        <v>47578.11</v>
      </c>
      <c r="U33" s="308">
        <v>0</v>
      </c>
      <c r="X33" s="315"/>
    </row>
    <row r="34" spans="1:24" ht="13.5" thickBot="1">
      <c r="A34" s="305"/>
      <c r="B34" s="306" t="s">
        <v>256</v>
      </c>
      <c r="C34" s="307">
        <v>2036</v>
      </c>
      <c r="D34" s="308">
        <v>45008.44</v>
      </c>
      <c r="E34" s="308">
        <v>0</v>
      </c>
      <c r="F34" s="308">
        <v>1485216.8777316841</v>
      </c>
      <c r="G34" s="308">
        <v>1477027</v>
      </c>
      <c r="H34" s="308">
        <v>157653</v>
      </c>
      <c r="I34" s="308">
        <v>132118</v>
      </c>
      <c r="J34" s="308">
        <v>0</v>
      </c>
      <c r="K34" s="308">
        <v>159614.39</v>
      </c>
      <c r="L34" s="308">
        <v>0</v>
      </c>
      <c r="M34" s="309">
        <v>0</v>
      </c>
      <c r="N34" s="309">
        <v>0</v>
      </c>
      <c r="O34" s="311">
        <f t="shared" si="2"/>
        <v>1971420.83</v>
      </c>
      <c r="P34" s="310">
        <v>1959953.23</v>
      </c>
      <c r="Q34" s="308">
        <v>0</v>
      </c>
      <c r="R34" s="308">
        <v>99</v>
      </c>
      <c r="S34" s="308">
        <v>0</v>
      </c>
      <c r="T34" s="308">
        <v>11368.6</v>
      </c>
      <c r="U34" s="308">
        <v>0</v>
      </c>
      <c r="X34" s="315"/>
    </row>
    <row r="35" spans="1:24" ht="13.5" thickBot="1">
      <c r="A35" s="305"/>
      <c r="B35" s="306" t="s">
        <v>257</v>
      </c>
      <c r="C35" s="307">
        <v>2037</v>
      </c>
      <c r="D35" s="308">
        <v>201568.67</v>
      </c>
      <c r="E35" s="308">
        <v>0</v>
      </c>
      <c r="F35" s="308">
        <v>1453647.0320554806</v>
      </c>
      <c r="G35" s="308">
        <v>1443803</v>
      </c>
      <c r="H35" s="308">
        <v>125295</v>
      </c>
      <c r="I35" s="308">
        <v>124036</v>
      </c>
      <c r="J35" s="308">
        <v>0</v>
      </c>
      <c r="K35" s="308">
        <v>51761.89</v>
      </c>
      <c r="L35" s="308">
        <v>0</v>
      </c>
      <c r="M35" s="309">
        <v>0</v>
      </c>
      <c r="N35" s="309">
        <v>0</v>
      </c>
      <c r="O35" s="311">
        <f t="shared" si="2"/>
        <v>1946464.5599999998</v>
      </c>
      <c r="P35" s="310">
        <v>1812910.49</v>
      </c>
      <c r="Q35" s="308">
        <v>0</v>
      </c>
      <c r="R35" s="308">
        <v>0</v>
      </c>
      <c r="S35" s="308">
        <v>0</v>
      </c>
      <c r="T35" s="308">
        <v>133554.07</v>
      </c>
      <c r="U35" s="308">
        <v>0</v>
      </c>
      <c r="X35" s="315"/>
    </row>
    <row r="36" spans="1:24" ht="13.5" thickBot="1">
      <c r="A36" s="305"/>
      <c r="B36" s="306" t="s">
        <v>258</v>
      </c>
      <c r="C36" s="307">
        <v>2038</v>
      </c>
      <c r="D36" s="308">
        <v>39396.74</v>
      </c>
      <c r="E36" s="308">
        <v>0</v>
      </c>
      <c r="F36" s="308">
        <v>1062305.1280746427</v>
      </c>
      <c r="G36" s="308">
        <v>1083543</v>
      </c>
      <c r="H36" s="308">
        <v>49471</v>
      </c>
      <c r="I36" s="308">
        <v>44160</v>
      </c>
      <c r="J36" s="308">
        <v>0</v>
      </c>
      <c r="K36" s="308">
        <v>45672.4</v>
      </c>
      <c r="L36" s="308">
        <v>0</v>
      </c>
      <c r="M36" s="309">
        <v>0</v>
      </c>
      <c r="N36" s="309">
        <v>0</v>
      </c>
      <c r="O36" s="311">
        <f t="shared" si="2"/>
        <v>1262243.14</v>
      </c>
      <c r="P36" s="310">
        <v>1241333.76</v>
      </c>
      <c r="Q36" s="308">
        <v>0</v>
      </c>
      <c r="R36" s="308">
        <v>0</v>
      </c>
      <c r="S36" s="308">
        <v>0</v>
      </c>
      <c r="T36" s="308">
        <v>20909.38</v>
      </c>
      <c r="U36" s="308">
        <v>0</v>
      </c>
      <c r="X36" s="315"/>
    </row>
    <row r="37" spans="1:24" ht="13.5" thickBot="1">
      <c r="A37" s="305"/>
      <c r="B37" s="306" t="s">
        <v>259</v>
      </c>
      <c r="C37" s="307">
        <v>2039</v>
      </c>
      <c r="D37" s="308">
        <v>105314.97</v>
      </c>
      <c r="E37" s="308">
        <v>0</v>
      </c>
      <c r="F37" s="308">
        <v>1013093.9442524128</v>
      </c>
      <c r="G37" s="308">
        <v>1032215</v>
      </c>
      <c r="H37" s="308">
        <v>48559</v>
      </c>
      <c r="I37" s="308">
        <v>20295</v>
      </c>
      <c r="J37" s="308">
        <v>0</v>
      </c>
      <c r="K37" s="308">
        <v>27940.89</v>
      </c>
      <c r="L37" s="308">
        <v>0</v>
      </c>
      <c r="M37" s="309">
        <v>0</v>
      </c>
      <c r="N37" s="309">
        <v>0</v>
      </c>
      <c r="O37" s="311">
        <f t="shared" si="2"/>
        <v>1234324.8599999999</v>
      </c>
      <c r="P37" s="310">
        <v>1179839.97</v>
      </c>
      <c r="Q37" s="308">
        <v>0</v>
      </c>
      <c r="R37" s="308">
        <v>0</v>
      </c>
      <c r="S37" s="308">
        <v>0</v>
      </c>
      <c r="T37" s="308">
        <v>54484.89</v>
      </c>
      <c r="U37" s="308">
        <v>0</v>
      </c>
      <c r="X37" s="315"/>
    </row>
    <row r="38" spans="1:24" ht="13.5" thickBot="1">
      <c r="A38" s="305"/>
      <c r="B38" s="306" t="s">
        <v>260</v>
      </c>
      <c r="C38" s="307">
        <v>2048</v>
      </c>
      <c r="D38" s="308">
        <v>102721.74</v>
      </c>
      <c r="E38" s="308">
        <v>0</v>
      </c>
      <c r="F38" s="308">
        <v>1370410.01491011</v>
      </c>
      <c r="G38" s="308">
        <v>1357810</v>
      </c>
      <c r="H38" s="308">
        <v>109451.99</v>
      </c>
      <c r="I38" s="308">
        <v>48624</v>
      </c>
      <c r="J38" s="308">
        <v>0</v>
      </c>
      <c r="K38" s="308">
        <v>23131.75</v>
      </c>
      <c r="L38" s="308">
        <v>0</v>
      </c>
      <c r="M38" s="309">
        <v>0</v>
      </c>
      <c r="N38" s="309">
        <v>0</v>
      </c>
      <c r="O38" s="311">
        <f t="shared" si="2"/>
        <v>1641739.48</v>
      </c>
      <c r="P38" s="310">
        <v>1542806.51</v>
      </c>
      <c r="Q38" s="308">
        <v>0</v>
      </c>
      <c r="R38" s="308">
        <v>0</v>
      </c>
      <c r="S38" s="308">
        <v>0</v>
      </c>
      <c r="T38" s="308">
        <v>98932.97</v>
      </c>
      <c r="U38" s="308">
        <v>0</v>
      </c>
      <c r="X38" s="315"/>
    </row>
    <row r="39" spans="1:24" ht="13.5" thickBot="1">
      <c r="A39" s="305"/>
      <c r="B39" s="306" t="s">
        <v>261</v>
      </c>
      <c r="C39" s="307">
        <v>2051</v>
      </c>
      <c r="D39" s="308">
        <v>148327.57</v>
      </c>
      <c r="E39" s="308">
        <v>0</v>
      </c>
      <c r="F39" s="308">
        <v>1524957.8262724986</v>
      </c>
      <c r="G39" s="308">
        <v>1476551</v>
      </c>
      <c r="H39" s="308">
        <v>170719</v>
      </c>
      <c r="I39" s="308">
        <v>211907</v>
      </c>
      <c r="J39" s="308">
        <v>0</v>
      </c>
      <c r="K39" s="308">
        <v>118595.66</v>
      </c>
      <c r="L39" s="308">
        <v>0</v>
      </c>
      <c r="M39" s="309">
        <v>0</v>
      </c>
      <c r="N39" s="309">
        <v>0</v>
      </c>
      <c r="O39" s="311">
        <f t="shared" si="2"/>
        <v>2126100.23</v>
      </c>
      <c r="P39" s="310">
        <v>2029147.62</v>
      </c>
      <c r="Q39" s="308">
        <v>0</v>
      </c>
      <c r="R39" s="308">
        <v>64.55</v>
      </c>
      <c r="S39" s="308">
        <v>35514</v>
      </c>
      <c r="T39" s="308">
        <v>61374.06</v>
      </c>
      <c r="U39" s="308">
        <v>0</v>
      </c>
      <c r="X39" s="315"/>
    </row>
    <row r="40" spans="1:24" ht="13.5" thickBot="1">
      <c r="A40" s="305"/>
      <c r="B40" s="306" t="s">
        <v>262</v>
      </c>
      <c r="C40" s="307">
        <v>2052</v>
      </c>
      <c r="D40" s="308">
        <v>135061.28</v>
      </c>
      <c r="E40" s="308">
        <v>0</v>
      </c>
      <c r="F40" s="308">
        <v>1063658.4677290493</v>
      </c>
      <c r="G40" s="308">
        <v>1063817</v>
      </c>
      <c r="H40" s="308">
        <v>78141</v>
      </c>
      <c r="I40" s="308">
        <v>53946</v>
      </c>
      <c r="J40" s="308">
        <v>0</v>
      </c>
      <c r="K40" s="308">
        <v>53024.96</v>
      </c>
      <c r="L40" s="308">
        <v>0</v>
      </c>
      <c r="M40" s="309">
        <v>0</v>
      </c>
      <c r="N40" s="309">
        <v>13130.59</v>
      </c>
      <c r="O40" s="311">
        <f t="shared" si="2"/>
        <v>1397120.83</v>
      </c>
      <c r="P40" s="310">
        <v>1211046.53</v>
      </c>
      <c r="Q40" s="308">
        <v>0</v>
      </c>
      <c r="R40" s="308">
        <v>0</v>
      </c>
      <c r="S40" s="308">
        <v>0</v>
      </c>
      <c r="T40" s="308">
        <v>172943.71</v>
      </c>
      <c r="U40" s="308">
        <v>13130.59</v>
      </c>
      <c r="X40" s="315"/>
    </row>
    <row r="41" spans="1:24" ht="13.5" thickBot="1">
      <c r="A41" s="305"/>
      <c r="B41" s="306" t="s">
        <v>263</v>
      </c>
      <c r="C41" s="307">
        <v>2054</v>
      </c>
      <c r="D41" s="308">
        <v>224559.78</v>
      </c>
      <c r="E41" s="308">
        <v>0</v>
      </c>
      <c r="F41" s="308">
        <v>1068964.3474822978</v>
      </c>
      <c r="G41" s="308">
        <v>1099929</v>
      </c>
      <c r="H41" s="308">
        <v>54877</v>
      </c>
      <c r="I41" s="308">
        <v>39006</v>
      </c>
      <c r="J41" s="308">
        <v>0</v>
      </c>
      <c r="K41" s="308">
        <v>63132.14</v>
      </c>
      <c r="L41" s="308">
        <v>0</v>
      </c>
      <c r="M41" s="309">
        <v>0</v>
      </c>
      <c r="N41" s="309">
        <v>0</v>
      </c>
      <c r="O41" s="311">
        <f t="shared" si="2"/>
        <v>1481503.92</v>
      </c>
      <c r="P41" s="310">
        <v>1152960.38</v>
      </c>
      <c r="Q41" s="308">
        <v>0</v>
      </c>
      <c r="R41" s="308">
        <v>0</v>
      </c>
      <c r="S41" s="308">
        <v>0</v>
      </c>
      <c r="T41" s="308">
        <v>328543.54</v>
      </c>
      <c r="U41" s="308">
        <v>0</v>
      </c>
      <c r="X41" s="315"/>
    </row>
    <row r="42" spans="1:24" ht="13.5" thickBot="1">
      <c r="A42" s="305"/>
      <c r="B42" s="306" t="s">
        <v>264</v>
      </c>
      <c r="C42" s="307">
        <v>2055</v>
      </c>
      <c r="D42" s="308">
        <v>157985.27</v>
      </c>
      <c r="E42" s="308">
        <v>0</v>
      </c>
      <c r="F42" s="308">
        <v>1445433.81381094</v>
      </c>
      <c r="G42" s="308">
        <v>1417240</v>
      </c>
      <c r="H42" s="308">
        <v>140539</v>
      </c>
      <c r="I42" s="308">
        <v>102780</v>
      </c>
      <c r="J42" s="308">
        <v>1000</v>
      </c>
      <c r="K42" s="308">
        <v>123872.36</v>
      </c>
      <c r="L42" s="308">
        <v>0</v>
      </c>
      <c r="M42" s="309">
        <v>0</v>
      </c>
      <c r="N42" s="309">
        <v>0</v>
      </c>
      <c r="O42" s="311">
        <f t="shared" si="2"/>
        <v>1943416.6300000001</v>
      </c>
      <c r="P42" s="310">
        <v>1791480.89</v>
      </c>
      <c r="Q42" s="308">
        <v>0</v>
      </c>
      <c r="R42" s="308">
        <v>0</v>
      </c>
      <c r="S42" s="308">
        <v>0</v>
      </c>
      <c r="T42" s="308">
        <v>151935.74</v>
      </c>
      <c r="U42" s="308">
        <v>0</v>
      </c>
      <c r="X42" s="315"/>
    </row>
    <row r="43" spans="1:24" ht="13.5" thickBot="1">
      <c r="A43" s="305"/>
      <c r="B43" s="306" t="s">
        <v>265</v>
      </c>
      <c r="C43" s="307">
        <v>2059</v>
      </c>
      <c r="D43" s="308">
        <v>175700.29</v>
      </c>
      <c r="E43" s="308">
        <v>0</v>
      </c>
      <c r="F43" s="308">
        <v>1652305.5141140805</v>
      </c>
      <c r="G43" s="308">
        <v>1669230.41</v>
      </c>
      <c r="H43" s="308">
        <v>113180</v>
      </c>
      <c r="I43" s="308">
        <v>158033</v>
      </c>
      <c r="J43" s="308">
        <v>68227</v>
      </c>
      <c r="K43" s="308">
        <v>133421.5</v>
      </c>
      <c r="L43" s="308">
        <v>0</v>
      </c>
      <c r="M43" s="309">
        <v>0</v>
      </c>
      <c r="N43" s="309">
        <v>0</v>
      </c>
      <c r="O43" s="311">
        <f t="shared" si="2"/>
        <v>2317792.2</v>
      </c>
      <c r="P43" s="310">
        <v>2110858.23</v>
      </c>
      <c r="Q43" s="308">
        <v>0</v>
      </c>
      <c r="R43" s="308">
        <v>0</v>
      </c>
      <c r="S43" s="308">
        <v>74810</v>
      </c>
      <c r="T43" s="308">
        <v>132123.97</v>
      </c>
      <c r="U43" s="308">
        <v>0</v>
      </c>
      <c r="X43" s="315"/>
    </row>
    <row r="44" spans="1:24" ht="13.5" thickBot="1">
      <c r="A44" s="305"/>
      <c r="B44" s="306" t="s">
        <v>266</v>
      </c>
      <c r="C44" s="307">
        <v>2060</v>
      </c>
      <c r="D44" s="308">
        <v>99422.32</v>
      </c>
      <c r="E44" s="308">
        <v>0</v>
      </c>
      <c r="F44" s="308">
        <v>1459535.4124114804</v>
      </c>
      <c r="G44" s="308">
        <v>1490182</v>
      </c>
      <c r="H44" s="308">
        <v>89007</v>
      </c>
      <c r="I44" s="308">
        <v>42101</v>
      </c>
      <c r="J44" s="308">
        <v>1.31</v>
      </c>
      <c r="K44" s="308">
        <v>36013.2</v>
      </c>
      <c r="L44" s="308">
        <v>0</v>
      </c>
      <c r="M44" s="309">
        <v>0</v>
      </c>
      <c r="N44" s="309">
        <v>0</v>
      </c>
      <c r="O44" s="311">
        <f t="shared" si="2"/>
        <v>1756726.83</v>
      </c>
      <c r="P44" s="310">
        <v>1591021.84</v>
      </c>
      <c r="Q44" s="308">
        <v>0</v>
      </c>
      <c r="R44" s="308">
        <v>0</v>
      </c>
      <c r="S44" s="308">
        <v>50000</v>
      </c>
      <c r="T44" s="308">
        <v>115704.99</v>
      </c>
      <c r="U44" s="308">
        <v>0</v>
      </c>
      <c r="X44" s="315"/>
    </row>
    <row r="45" spans="1:24" ht="13.5" thickBot="1">
      <c r="A45" s="305"/>
      <c r="B45" s="306" t="s">
        <v>267</v>
      </c>
      <c r="C45" s="307">
        <v>2061</v>
      </c>
      <c r="D45" s="308">
        <v>33172.85</v>
      </c>
      <c r="E45" s="308">
        <v>0</v>
      </c>
      <c r="F45" s="308">
        <v>802069.825845318</v>
      </c>
      <c r="G45" s="308">
        <v>812415</v>
      </c>
      <c r="H45" s="308">
        <v>35872</v>
      </c>
      <c r="I45" s="308">
        <v>24159</v>
      </c>
      <c r="J45" s="308">
        <v>0</v>
      </c>
      <c r="K45" s="308">
        <v>34833.51</v>
      </c>
      <c r="L45" s="308">
        <v>0</v>
      </c>
      <c r="M45" s="309">
        <v>0</v>
      </c>
      <c r="N45" s="309">
        <v>0</v>
      </c>
      <c r="O45" s="311">
        <f t="shared" si="2"/>
        <v>940452.36</v>
      </c>
      <c r="P45" s="310">
        <v>913144.2</v>
      </c>
      <c r="Q45" s="308">
        <v>0</v>
      </c>
      <c r="R45" s="308">
        <v>0</v>
      </c>
      <c r="S45" s="308">
        <v>0</v>
      </c>
      <c r="T45" s="308">
        <v>27308.16</v>
      </c>
      <c r="U45" s="308">
        <v>0</v>
      </c>
      <c r="X45" s="315"/>
    </row>
    <row r="46" spans="1:24" ht="13.5" thickBot="1">
      <c r="A46" s="305"/>
      <c r="B46" s="306" t="s">
        <v>268</v>
      </c>
      <c r="C46" s="307">
        <v>2062</v>
      </c>
      <c r="D46" s="308">
        <v>226057.19</v>
      </c>
      <c r="E46" s="308">
        <v>0</v>
      </c>
      <c r="F46" s="308">
        <v>1424267.8880881688</v>
      </c>
      <c r="G46" s="308">
        <v>1390676</v>
      </c>
      <c r="H46" s="308">
        <v>147496</v>
      </c>
      <c r="I46" s="308">
        <v>92507</v>
      </c>
      <c r="J46" s="308">
        <v>0</v>
      </c>
      <c r="K46" s="308">
        <v>58754.21</v>
      </c>
      <c r="L46" s="308">
        <v>0</v>
      </c>
      <c r="M46" s="309">
        <v>0</v>
      </c>
      <c r="N46" s="309">
        <v>0</v>
      </c>
      <c r="O46" s="311">
        <f t="shared" si="2"/>
        <v>1915490.4</v>
      </c>
      <c r="P46" s="310">
        <v>1659447.9</v>
      </c>
      <c r="Q46" s="308">
        <v>0</v>
      </c>
      <c r="R46" s="308">
        <v>0</v>
      </c>
      <c r="S46" s="308">
        <v>0</v>
      </c>
      <c r="T46" s="308">
        <v>256042.5</v>
      </c>
      <c r="U46" s="308">
        <v>0</v>
      </c>
      <c r="X46" s="315"/>
    </row>
    <row r="47" spans="1:24" ht="13.5" thickBot="1">
      <c r="A47" s="305"/>
      <c r="B47" s="306" t="s">
        <v>269</v>
      </c>
      <c r="C47" s="307">
        <v>2063</v>
      </c>
      <c r="D47" s="308">
        <v>51667.25</v>
      </c>
      <c r="E47" s="308">
        <v>0</v>
      </c>
      <c r="F47" s="308">
        <v>825415.937042303</v>
      </c>
      <c r="G47" s="308">
        <v>833852</v>
      </c>
      <c r="H47" s="308">
        <v>50986</v>
      </c>
      <c r="I47" s="308">
        <v>42688</v>
      </c>
      <c r="J47" s="308">
        <v>0</v>
      </c>
      <c r="K47" s="308">
        <v>52780.83</v>
      </c>
      <c r="L47" s="308">
        <v>0</v>
      </c>
      <c r="M47" s="309">
        <v>0</v>
      </c>
      <c r="N47" s="309">
        <v>0</v>
      </c>
      <c r="O47" s="311">
        <f t="shared" si="2"/>
        <v>1031974.08</v>
      </c>
      <c r="P47" s="310">
        <v>969520.51</v>
      </c>
      <c r="Q47" s="308">
        <v>0</v>
      </c>
      <c r="R47" s="308">
        <v>0</v>
      </c>
      <c r="S47" s="308">
        <v>0</v>
      </c>
      <c r="T47" s="308">
        <v>62453.57</v>
      </c>
      <c r="U47" s="308">
        <v>0</v>
      </c>
      <c r="X47" s="315"/>
    </row>
    <row r="48" spans="1:24" ht="13.5" thickBot="1">
      <c r="A48" s="305"/>
      <c r="B48" s="306" t="s">
        <v>270</v>
      </c>
      <c r="C48" s="307">
        <v>2064</v>
      </c>
      <c r="D48" s="308">
        <v>111042.74</v>
      </c>
      <c r="E48" s="308">
        <v>0</v>
      </c>
      <c r="F48" s="308">
        <v>1234579.6758796875</v>
      </c>
      <c r="G48" s="308">
        <v>1204313</v>
      </c>
      <c r="H48" s="308">
        <v>143960</v>
      </c>
      <c r="I48" s="308">
        <v>103431</v>
      </c>
      <c r="J48" s="308">
        <v>0</v>
      </c>
      <c r="K48" s="308">
        <v>38393.22</v>
      </c>
      <c r="L48" s="308">
        <v>4100</v>
      </c>
      <c r="M48" s="309">
        <v>0</v>
      </c>
      <c r="N48" s="309">
        <v>2364</v>
      </c>
      <c r="O48" s="311">
        <f t="shared" si="2"/>
        <v>1607603.96</v>
      </c>
      <c r="P48" s="310">
        <v>1532431.8</v>
      </c>
      <c r="Q48" s="308">
        <v>2364</v>
      </c>
      <c r="R48" s="308">
        <v>0</v>
      </c>
      <c r="S48" s="308">
        <v>0</v>
      </c>
      <c r="T48" s="308">
        <v>72808.16</v>
      </c>
      <c r="U48" s="308">
        <v>0</v>
      </c>
      <c r="X48" s="315"/>
    </row>
    <row r="49" spans="1:24" ht="13.5" thickBot="1">
      <c r="A49" s="305"/>
      <c r="B49" s="306" t="s">
        <v>271</v>
      </c>
      <c r="C49" s="307">
        <v>2065</v>
      </c>
      <c r="D49" s="308">
        <v>65314.37</v>
      </c>
      <c r="E49" s="308">
        <v>0</v>
      </c>
      <c r="F49" s="308">
        <v>775678.3369512856</v>
      </c>
      <c r="G49" s="308">
        <v>808859</v>
      </c>
      <c r="H49" s="308">
        <v>23838</v>
      </c>
      <c r="I49" s="308">
        <v>26719</v>
      </c>
      <c r="J49" s="308">
        <v>0</v>
      </c>
      <c r="K49" s="308">
        <v>32873</v>
      </c>
      <c r="L49" s="308">
        <v>0</v>
      </c>
      <c r="M49" s="309">
        <v>0</v>
      </c>
      <c r="N49" s="309">
        <v>0</v>
      </c>
      <c r="O49" s="311">
        <f t="shared" si="2"/>
        <v>957603.37</v>
      </c>
      <c r="P49" s="310">
        <v>922285.42</v>
      </c>
      <c r="Q49" s="308">
        <v>0</v>
      </c>
      <c r="R49" s="308">
        <v>0</v>
      </c>
      <c r="S49" s="308">
        <v>0</v>
      </c>
      <c r="T49" s="308">
        <v>35317.95</v>
      </c>
      <c r="U49" s="308">
        <v>0</v>
      </c>
      <c r="X49" s="315"/>
    </row>
    <row r="50" spans="1:24" ht="13.5" thickBot="1">
      <c r="A50" s="305"/>
      <c r="B50" s="306" t="s">
        <v>272</v>
      </c>
      <c r="C50" s="307">
        <v>2068</v>
      </c>
      <c r="D50" s="308">
        <v>134113.08</v>
      </c>
      <c r="E50" s="308">
        <v>0</v>
      </c>
      <c r="F50" s="308">
        <v>1062509.594736636</v>
      </c>
      <c r="G50" s="308">
        <v>1068041</v>
      </c>
      <c r="H50" s="308">
        <v>45886</v>
      </c>
      <c r="I50" s="308">
        <v>24289</v>
      </c>
      <c r="J50" s="308">
        <v>0</v>
      </c>
      <c r="K50" s="308">
        <v>18849.46</v>
      </c>
      <c r="L50" s="308">
        <v>0</v>
      </c>
      <c r="M50" s="309">
        <v>0</v>
      </c>
      <c r="N50" s="309">
        <v>0</v>
      </c>
      <c r="O50" s="311">
        <f t="shared" si="2"/>
        <v>1291178.54</v>
      </c>
      <c r="P50" s="310">
        <v>1133437.89</v>
      </c>
      <c r="Q50" s="308">
        <v>0</v>
      </c>
      <c r="R50" s="308">
        <v>70861.25</v>
      </c>
      <c r="S50" s="308">
        <v>53000</v>
      </c>
      <c r="T50" s="308">
        <v>33879.4</v>
      </c>
      <c r="U50" s="308">
        <v>0</v>
      </c>
      <c r="X50" s="315"/>
    </row>
    <row r="51" spans="1:24" ht="13.5" thickBot="1">
      <c r="A51" s="305"/>
      <c r="B51" s="306" t="s">
        <v>273</v>
      </c>
      <c r="C51" s="307">
        <v>2069</v>
      </c>
      <c r="D51" s="308">
        <v>189946.82</v>
      </c>
      <c r="E51" s="308">
        <v>0</v>
      </c>
      <c r="F51" s="308">
        <v>1070653.9461678292</v>
      </c>
      <c r="G51" s="308">
        <v>1020947</v>
      </c>
      <c r="H51" s="308">
        <v>109882</v>
      </c>
      <c r="I51" s="308">
        <v>23209</v>
      </c>
      <c r="J51" s="308">
        <v>0</v>
      </c>
      <c r="K51" s="308">
        <v>41491.86</v>
      </c>
      <c r="L51" s="308">
        <v>0</v>
      </c>
      <c r="M51" s="309">
        <v>0</v>
      </c>
      <c r="N51" s="309">
        <v>0</v>
      </c>
      <c r="O51" s="311">
        <f t="shared" si="2"/>
        <v>1385476.6800000002</v>
      </c>
      <c r="P51" s="310">
        <v>1290674.82</v>
      </c>
      <c r="Q51" s="308">
        <v>0</v>
      </c>
      <c r="R51" s="308">
        <v>0</v>
      </c>
      <c r="S51" s="308">
        <v>0</v>
      </c>
      <c r="T51" s="308">
        <v>94801.86</v>
      </c>
      <c r="U51" s="308">
        <v>0</v>
      </c>
      <c r="X51" s="315"/>
    </row>
    <row r="52" spans="1:24" ht="13.5" thickBot="1">
      <c r="A52" s="305"/>
      <c r="B52" s="306" t="s">
        <v>274</v>
      </c>
      <c r="C52" s="307">
        <v>2074</v>
      </c>
      <c r="D52" s="308">
        <v>268378.81</v>
      </c>
      <c r="E52" s="308">
        <v>0</v>
      </c>
      <c r="F52" s="308">
        <v>1092762.383071849</v>
      </c>
      <c r="G52" s="308">
        <v>1075514</v>
      </c>
      <c r="H52" s="308">
        <v>96675</v>
      </c>
      <c r="I52" s="308">
        <v>38228</v>
      </c>
      <c r="J52" s="308">
        <v>0</v>
      </c>
      <c r="K52" s="308">
        <v>71914.14</v>
      </c>
      <c r="L52" s="308">
        <v>0</v>
      </c>
      <c r="M52" s="309">
        <v>0</v>
      </c>
      <c r="N52" s="309">
        <v>0</v>
      </c>
      <c r="O52" s="311">
        <f t="shared" si="2"/>
        <v>1550709.95</v>
      </c>
      <c r="P52" s="310">
        <v>1250334.95</v>
      </c>
      <c r="Q52" s="308">
        <v>0</v>
      </c>
      <c r="R52" s="308">
        <v>0</v>
      </c>
      <c r="S52" s="308">
        <v>0</v>
      </c>
      <c r="T52" s="308">
        <v>300375</v>
      </c>
      <c r="U52" s="308">
        <v>0</v>
      </c>
      <c r="X52" s="315"/>
    </row>
    <row r="53" spans="1:24" ht="13.5" thickBot="1">
      <c r="A53" s="305"/>
      <c r="B53" s="306" t="s">
        <v>275</v>
      </c>
      <c r="C53" s="307">
        <v>2076</v>
      </c>
      <c r="D53" s="308">
        <v>50025.9</v>
      </c>
      <c r="E53" s="308">
        <v>1296.76</v>
      </c>
      <c r="F53" s="308">
        <v>1343636.794877808</v>
      </c>
      <c r="G53" s="308">
        <v>1370499</v>
      </c>
      <c r="H53" s="308">
        <v>90162</v>
      </c>
      <c r="I53" s="308">
        <v>42224</v>
      </c>
      <c r="J53" s="308">
        <v>0</v>
      </c>
      <c r="K53" s="308">
        <v>66793.85</v>
      </c>
      <c r="L53" s="308">
        <v>0</v>
      </c>
      <c r="M53" s="309">
        <v>1529.75</v>
      </c>
      <c r="N53" s="309">
        <v>3235.06</v>
      </c>
      <c r="O53" s="311">
        <f t="shared" si="2"/>
        <v>1625766.32</v>
      </c>
      <c r="P53" s="310">
        <v>1470899.41</v>
      </c>
      <c r="Q53" s="308">
        <v>392.88</v>
      </c>
      <c r="R53" s="308">
        <v>98065.52</v>
      </c>
      <c r="S53" s="308">
        <v>0</v>
      </c>
      <c r="T53" s="308">
        <v>50739.82</v>
      </c>
      <c r="U53" s="308">
        <v>5668.69</v>
      </c>
      <c r="X53" s="315"/>
    </row>
    <row r="54" spans="1:24" ht="13.5" thickBot="1">
      <c r="A54" s="305"/>
      <c r="B54" s="306" t="s">
        <v>276</v>
      </c>
      <c r="C54" s="307">
        <v>2078</v>
      </c>
      <c r="D54" s="308">
        <v>175626.03</v>
      </c>
      <c r="E54" s="308">
        <v>0</v>
      </c>
      <c r="F54" s="308">
        <v>2306769.5813987553</v>
      </c>
      <c r="G54" s="308">
        <v>2311070</v>
      </c>
      <c r="H54" s="308">
        <v>181182</v>
      </c>
      <c r="I54" s="308">
        <v>137017</v>
      </c>
      <c r="J54" s="308">
        <v>0</v>
      </c>
      <c r="K54" s="308">
        <v>57580.49</v>
      </c>
      <c r="L54" s="308">
        <v>0</v>
      </c>
      <c r="M54" s="309">
        <v>0</v>
      </c>
      <c r="N54" s="309">
        <v>0</v>
      </c>
      <c r="O54" s="311">
        <f t="shared" si="2"/>
        <v>2862475.52</v>
      </c>
      <c r="P54" s="310">
        <v>2645717.11</v>
      </c>
      <c r="Q54" s="308">
        <v>0</v>
      </c>
      <c r="R54" s="308">
        <v>0</v>
      </c>
      <c r="S54" s="308">
        <v>0</v>
      </c>
      <c r="T54" s="308">
        <v>216758.41</v>
      </c>
      <c r="U54" s="308">
        <v>0</v>
      </c>
      <c r="X54" s="315"/>
    </row>
    <row r="55" spans="1:24" ht="13.5" thickBot="1">
      <c r="A55" s="305"/>
      <c r="B55" s="306" t="s">
        <v>277</v>
      </c>
      <c r="C55" s="307">
        <v>2080</v>
      </c>
      <c r="D55" s="308">
        <v>79456.07</v>
      </c>
      <c r="E55" s="308">
        <v>0</v>
      </c>
      <c r="F55" s="308">
        <v>1263689.2660975056</v>
      </c>
      <c r="G55" s="308">
        <v>1287855</v>
      </c>
      <c r="H55" s="308">
        <v>63152</v>
      </c>
      <c r="I55" s="308">
        <v>40772</v>
      </c>
      <c r="J55" s="308">
        <v>0</v>
      </c>
      <c r="K55" s="308">
        <v>141775.67</v>
      </c>
      <c r="L55" s="308">
        <v>0</v>
      </c>
      <c r="M55" s="309">
        <v>0</v>
      </c>
      <c r="N55" s="309">
        <v>0</v>
      </c>
      <c r="O55" s="311">
        <f t="shared" si="2"/>
        <v>1613010.74</v>
      </c>
      <c r="P55" s="310">
        <v>1541066.63</v>
      </c>
      <c r="Q55" s="308">
        <v>0</v>
      </c>
      <c r="R55" s="308">
        <v>0</v>
      </c>
      <c r="S55" s="308">
        <v>0</v>
      </c>
      <c r="T55" s="308">
        <v>71944.11</v>
      </c>
      <c r="U55" s="308">
        <v>0</v>
      </c>
      <c r="X55" s="315"/>
    </row>
    <row r="56" spans="1:24" ht="13.5" thickBot="1">
      <c r="A56" s="305"/>
      <c r="B56" s="306" t="s">
        <v>278</v>
      </c>
      <c r="C56" s="307">
        <v>2081</v>
      </c>
      <c r="D56" s="308">
        <v>45165.98</v>
      </c>
      <c r="E56" s="308">
        <v>0</v>
      </c>
      <c r="F56" s="308">
        <v>1490202.6274096733</v>
      </c>
      <c r="G56" s="308">
        <v>1409947</v>
      </c>
      <c r="H56" s="308">
        <v>185512</v>
      </c>
      <c r="I56" s="308">
        <v>71017</v>
      </c>
      <c r="J56" s="308">
        <v>0</v>
      </c>
      <c r="K56" s="308">
        <v>19081.88</v>
      </c>
      <c r="L56" s="308">
        <v>0</v>
      </c>
      <c r="M56" s="309">
        <v>0</v>
      </c>
      <c r="N56" s="309">
        <v>0</v>
      </c>
      <c r="O56" s="311">
        <f t="shared" si="2"/>
        <v>1730723.8599999999</v>
      </c>
      <c r="P56" s="310">
        <v>1666305.58</v>
      </c>
      <c r="Q56" s="308">
        <v>0</v>
      </c>
      <c r="R56" s="308">
        <v>0</v>
      </c>
      <c r="S56" s="308">
        <v>0</v>
      </c>
      <c r="T56" s="308">
        <v>64418.28</v>
      </c>
      <c r="U56" s="308">
        <v>0</v>
      </c>
      <c r="X56" s="315"/>
    </row>
    <row r="57" spans="1:24" ht="13.5" thickBot="1">
      <c r="A57" s="305"/>
      <c r="B57" s="306" t="s">
        <v>279</v>
      </c>
      <c r="C57" s="307">
        <v>2082</v>
      </c>
      <c r="D57" s="308">
        <v>186504.31</v>
      </c>
      <c r="E57" s="308">
        <v>0</v>
      </c>
      <c r="F57" s="308">
        <v>2652791.9583351943</v>
      </c>
      <c r="G57" s="308">
        <v>2519018</v>
      </c>
      <c r="H57" s="308">
        <v>373063.02</v>
      </c>
      <c r="I57" s="308">
        <v>304061</v>
      </c>
      <c r="J57" s="308">
        <v>0</v>
      </c>
      <c r="K57" s="308">
        <v>87807.29</v>
      </c>
      <c r="L57" s="308">
        <v>0</v>
      </c>
      <c r="M57" s="309">
        <v>0</v>
      </c>
      <c r="N57" s="309">
        <v>0</v>
      </c>
      <c r="O57" s="311">
        <f t="shared" si="2"/>
        <v>3470453.62</v>
      </c>
      <c r="P57" s="310">
        <v>3287705.03</v>
      </c>
      <c r="Q57" s="308">
        <v>0</v>
      </c>
      <c r="R57" s="308">
        <v>0</v>
      </c>
      <c r="S57" s="308">
        <v>0</v>
      </c>
      <c r="T57" s="308">
        <v>182748.59</v>
      </c>
      <c r="U57" s="308">
        <v>0</v>
      </c>
      <c r="X57" s="315"/>
    </row>
    <row r="58" spans="1:24" ht="13.5" thickBot="1">
      <c r="A58" s="305"/>
      <c r="B58" s="306" t="s">
        <v>280</v>
      </c>
      <c r="C58" s="307">
        <v>2083</v>
      </c>
      <c r="D58" s="308">
        <v>140534.79</v>
      </c>
      <c r="E58" s="308">
        <v>0</v>
      </c>
      <c r="F58" s="308">
        <v>2807061.002000047</v>
      </c>
      <c r="G58" s="308">
        <v>2618206</v>
      </c>
      <c r="H58" s="308">
        <v>410797</v>
      </c>
      <c r="I58" s="308">
        <v>185752</v>
      </c>
      <c r="J58" s="308">
        <v>0</v>
      </c>
      <c r="K58" s="308">
        <v>69027.3</v>
      </c>
      <c r="L58" s="308">
        <v>0</v>
      </c>
      <c r="M58" s="309">
        <v>0</v>
      </c>
      <c r="N58" s="309">
        <v>0</v>
      </c>
      <c r="O58" s="311">
        <f t="shared" si="2"/>
        <v>3424317.09</v>
      </c>
      <c r="P58" s="310">
        <v>3203798.86</v>
      </c>
      <c r="Q58" s="308">
        <v>0</v>
      </c>
      <c r="R58" s="308">
        <v>2847</v>
      </c>
      <c r="S58" s="308">
        <v>0</v>
      </c>
      <c r="T58" s="308">
        <v>217671.23</v>
      </c>
      <c r="U58" s="308">
        <v>0</v>
      </c>
      <c r="X58" s="315"/>
    </row>
    <row r="59" spans="1:24" ht="13.5" thickBot="1">
      <c r="A59" s="305"/>
      <c r="B59" s="306" t="s">
        <v>281</v>
      </c>
      <c r="C59" s="307">
        <v>2084</v>
      </c>
      <c r="D59" s="308">
        <v>435833.94</v>
      </c>
      <c r="E59" s="308">
        <v>0</v>
      </c>
      <c r="F59" s="308">
        <v>1569672.5635873803</v>
      </c>
      <c r="G59" s="308">
        <v>1466750.32</v>
      </c>
      <c r="H59" s="308">
        <v>208881</v>
      </c>
      <c r="I59" s="308">
        <v>120855</v>
      </c>
      <c r="J59" s="308">
        <v>195068.19</v>
      </c>
      <c r="K59" s="308">
        <v>88345.8</v>
      </c>
      <c r="L59" s="308">
        <v>0</v>
      </c>
      <c r="M59" s="309">
        <v>0</v>
      </c>
      <c r="N59" s="309">
        <v>0</v>
      </c>
      <c r="O59" s="311">
        <f t="shared" si="2"/>
        <v>2515734.25</v>
      </c>
      <c r="P59" s="310">
        <v>2061886.32</v>
      </c>
      <c r="Q59" s="308">
        <v>0</v>
      </c>
      <c r="R59" s="308">
        <v>0</v>
      </c>
      <c r="S59" s="308">
        <v>0</v>
      </c>
      <c r="T59" s="308">
        <v>453847.93</v>
      </c>
      <c r="U59" s="308">
        <v>0</v>
      </c>
      <c r="X59" s="315"/>
    </row>
    <row r="60" spans="1:24" ht="13.5" thickBot="1">
      <c r="A60" s="305"/>
      <c r="B60" s="306" t="s">
        <v>282</v>
      </c>
      <c r="C60" s="307">
        <v>3300</v>
      </c>
      <c r="D60" s="308">
        <v>28850.21</v>
      </c>
      <c r="E60" s="308">
        <v>0</v>
      </c>
      <c r="F60" s="308">
        <v>1330089.403456392</v>
      </c>
      <c r="G60" s="308">
        <v>1354904</v>
      </c>
      <c r="H60" s="308">
        <v>77318</v>
      </c>
      <c r="I60" s="308">
        <v>43022</v>
      </c>
      <c r="J60" s="308">
        <v>0</v>
      </c>
      <c r="K60" s="308">
        <v>69951.05</v>
      </c>
      <c r="L60" s="308">
        <v>0</v>
      </c>
      <c r="M60" s="309">
        <v>0</v>
      </c>
      <c r="N60" s="309">
        <v>0</v>
      </c>
      <c r="O60" s="311">
        <f t="shared" si="2"/>
        <v>1574045.26</v>
      </c>
      <c r="P60" s="310">
        <v>1541691.01</v>
      </c>
      <c r="Q60" s="308">
        <v>0</v>
      </c>
      <c r="R60" s="308">
        <v>0</v>
      </c>
      <c r="S60" s="308">
        <v>0</v>
      </c>
      <c r="T60" s="308">
        <v>32354.25</v>
      </c>
      <c r="U60" s="308">
        <v>0</v>
      </c>
      <c r="X60" s="315"/>
    </row>
    <row r="61" spans="1:24" ht="13.5" thickBot="1">
      <c r="A61" s="305"/>
      <c r="B61" s="306" t="s">
        <v>283</v>
      </c>
      <c r="C61" s="307">
        <v>3302</v>
      </c>
      <c r="D61" s="308">
        <v>76596.05</v>
      </c>
      <c r="E61" s="308">
        <v>0</v>
      </c>
      <c r="F61" s="308">
        <v>726110.426102234</v>
      </c>
      <c r="G61" s="308">
        <v>735433</v>
      </c>
      <c r="H61" s="308">
        <v>39907</v>
      </c>
      <c r="I61" s="308">
        <v>26858</v>
      </c>
      <c r="J61" s="308">
        <v>0</v>
      </c>
      <c r="K61" s="308">
        <v>59594.05</v>
      </c>
      <c r="L61" s="308">
        <v>0</v>
      </c>
      <c r="M61" s="309">
        <v>0</v>
      </c>
      <c r="N61" s="309">
        <v>0</v>
      </c>
      <c r="O61" s="311">
        <f t="shared" si="2"/>
        <v>938388.1000000001</v>
      </c>
      <c r="P61" s="310">
        <v>910836.66</v>
      </c>
      <c r="Q61" s="308">
        <v>0</v>
      </c>
      <c r="R61" s="308">
        <v>0</v>
      </c>
      <c r="S61" s="308">
        <v>2347.9</v>
      </c>
      <c r="T61" s="308">
        <v>25203.54</v>
      </c>
      <c r="U61" s="308">
        <v>0</v>
      </c>
      <c r="X61" s="315"/>
    </row>
    <row r="62" spans="1:24" ht="13.5" thickBot="1">
      <c r="A62" s="305"/>
      <c r="B62" s="306" t="s">
        <v>284</v>
      </c>
      <c r="C62" s="307">
        <v>3306</v>
      </c>
      <c r="D62" s="308">
        <v>127849.91</v>
      </c>
      <c r="E62" s="308">
        <v>0</v>
      </c>
      <c r="F62" s="308">
        <v>1424453.3073986708</v>
      </c>
      <c r="G62" s="308">
        <v>1409896</v>
      </c>
      <c r="H62" s="308">
        <v>103920</v>
      </c>
      <c r="I62" s="308">
        <v>112858</v>
      </c>
      <c r="J62" s="308">
        <v>0</v>
      </c>
      <c r="K62" s="308">
        <v>55740.75</v>
      </c>
      <c r="L62" s="308">
        <v>0</v>
      </c>
      <c r="M62" s="309">
        <v>0</v>
      </c>
      <c r="N62" s="309">
        <v>0</v>
      </c>
      <c r="O62" s="311">
        <f t="shared" si="2"/>
        <v>1810264.66</v>
      </c>
      <c r="P62" s="310">
        <v>1676183.98</v>
      </c>
      <c r="Q62" s="308">
        <v>0</v>
      </c>
      <c r="R62" s="308">
        <v>0</v>
      </c>
      <c r="S62" s="308">
        <v>0</v>
      </c>
      <c r="T62" s="308">
        <v>134080.68</v>
      </c>
      <c r="U62" s="308">
        <v>0</v>
      </c>
      <c r="X62" s="315"/>
    </row>
    <row r="63" spans="1:24" ht="13.5" thickBot="1">
      <c r="A63" s="305"/>
      <c r="B63" s="306" t="s">
        <v>285</v>
      </c>
      <c r="C63" s="307">
        <v>3307</v>
      </c>
      <c r="D63" s="308">
        <v>18956.76</v>
      </c>
      <c r="E63" s="308">
        <v>0</v>
      </c>
      <c r="F63" s="308">
        <v>1377385.9461001407</v>
      </c>
      <c r="G63" s="308">
        <v>1377776.47</v>
      </c>
      <c r="H63" s="308">
        <v>98708</v>
      </c>
      <c r="I63" s="308">
        <v>56065</v>
      </c>
      <c r="J63" s="308">
        <v>500</v>
      </c>
      <c r="K63" s="308">
        <v>96506.71</v>
      </c>
      <c r="L63" s="308">
        <v>0</v>
      </c>
      <c r="M63" s="309">
        <v>0</v>
      </c>
      <c r="N63" s="309">
        <v>0</v>
      </c>
      <c r="O63" s="311">
        <f t="shared" si="2"/>
        <v>1648512.94</v>
      </c>
      <c r="P63" s="310">
        <v>1613540.85</v>
      </c>
      <c r="Q63" s="308">
        <v>0</v>
      </c>
      <c r="R63" s="308">
        <v>0</v>
      </c>
      <c r="S63" s="308">
        <v>0</v>
      </c>
      <c r="T63" s="308">
        <v>34972.09</v>
      </c>
      <c r="U63" s="308">
        <v>0</v>
      </c>
      <c r="X63" s="315"/>
    </row>
    <row r="64" spans="1:24" ht="13.5" thickBot="1">
      <c r="A64" s="305"/>
      <c r="B64" s="306" t="s">
        <v>286</v>
      </c>
      <c r="C64" s="307">
        <v>3400</v>
      </c>
      <c r="D64" s="308">
        <v>44627.62</v>
      </c>
      <c r="E64" s="308">
        <v>0</v>
      </c>
      <c r="F64" s="308">
        <v>784835.9448823138</v>
      </c>
      <c r="G64" s="308">
        <v>791375</v>
      </c>
      <c r="H64" s="308">
        <v>37894</v>
      </c>
      <c r="I64" s="308">
        <v>27157</v>
      </c>
      <c r="J64" s="308">
        <v>0</v>
      </c>
      <c r="K64" s="308">
        <v>39910.15</v>
      </c>
      <c r="L64" s="308">
        <v>0</v>
      </c>
      <c r="M64" s="309">
        <v>0</v>
      </c>
      <c r="N64" s="309">
        <v>0</v>
      </c>
      <c r="O64" s="311">
        <f t="shared" si="2"/>
        <v>940963.77</v>
      </c>
      <c r="P64" s="310">
        <v>901691</v>
      </c>
      <c r="Q64" s="308">
        <v>0</v>
      </c>
      <c r="R64" s="308">
        <v>0</v>
      </c>
      <c r="S64" s="308">
        <v>1854.89</v>
      </c>
      <c r="T64" s="308">
        <v>37417.88</v>
      </c>
      <c r="U64" s="308">
        <v>0</v>
      </c>
      <c r="X64" s="315"/>
    </row>
    <row r="65" spans="1:24" ht="13.5" thickBot="1">
      <c r="A65" s="305"/>
      <c r="B65" s="306" t="s">
        <v>287</v>
      </c>
      <c r="C65" s="307">
        <v>3401</v>
      </c>
      <c r="D65" s="308">
        <v>299506.12</v>
      </c>
      <c r="E65" s="308">
        <v>0</v>
      </c>
      <c r="F65" s="308">
        <v>1913306.084013956</v>
      </c>
      <c r="G65" s="308">
        <v>1884927</v>
      </c>
      <c r="H65" s="308">
        <v>161427</v>
      </c>
      <c r="I65" s="308">
        <v>49687</v>
      </c>
      <c r="J65" s="308">
        <v>0</v>
      </c>
      <c r="K65" s="308">
        <v>36919.62</v>
      </c>
      <c r="L65" s="308">
        <v>0</v>
      </c>
      <c r="M65" s="309">
        <v>0</v>
      </c>
      <c r="N65" s="309">
        <v>0</v>
      </c>
      <c r="O65" s="311">
        <f t="shared" si="2"/>
        <v>2432466.74</v>
      </c>
      <c r="P65" s="310">
        <v>2156892.95</v>
      </c>
      <c r="Q65" s="308">
        <v>0</v>
      </c>
      <c r="R65" s="308">
        <v>0</v>
      </c>
      <c r="S65" s="308">
        <v>0</v>
      </c>
      <c r="T65" s="308">
        <v>275573.79</v>
      </c>
      <c r="U65" s="308">
        <v>0</v>
      </c>
      <c r="X65" s="315"/>
    </row>
    <row r="66" spans="1:24" ht="13.5" thickBot="1">
      <c r="A66" s="305"/>
      <c r="B66" s="306" t="s">
        <v>288</v>
      </c>
      <c r="C66" s="307">
        <v>3402</v>
      </c>
      <c r="D66" s="308">
        <v>134669.77</v>
      </c>
      <c r="E66" s="308">
        <v>0</v>
      </c>
      <c r="F66" s="308">
        <v>1340373.9077345673</v>
      </c>
      <c r="G66" s="308">
        <v>1371671</v>
      </c>
      <c r="H66" s="308">
        <v>57387</v>
      </c>
      <c r="I66" s="308">
        <v>48305</v>
      </c>
      <c r="J66" s="308">
        <v>0</v>
      </c>
      <c r="K66" s="308">
        <v>134758.11</v>
      </c>
      <c r="L66" s="308">
        <v>0</v>
      </c>
      <c r="M66" s="309">
        <v>0</v>
      </c>
      <c r="N66" s="309">
        <v>0</v>
      </c>
      <c r="O66" s="311">
        <f t="shared" si="2"/>
        <v>1746790.88</v>
      </c>
      <c r="P66" s="310">
        <v>1658141.41</v>
      </c>
      <c r="Q66" s="308">
        <v>0</v>
      </c>
      <c r="R66" s="308">
        <v>0</v>
      </c>
      <c r="S66" s="308">
        <v>24928</v>
      </c>
      <c r="T66" s="308">
        <v>63721.47</v>
      </c>
      <c r="U66" s="308">
        <v>0</v>
      </c>
      <c r="X66" s="315"/>
    </row>
    <row r="67" spans="1:24" ht="13.5" thickBot="1">
      <c r="A67" s="305"/>
      <c r="B67" s="306" t="s">
        <v>289</v>
      </c>
      <c r="C67" s="307">
        <v>3403</v>
      </c>
      <c r="D67" s="308">
        <v>37692.61</v>
      </c>
      <c r="E67" s="308">
        <v>0</v>
      </c>
      <c r="F67" s="308">
        <v>815577.4635220196</v>
      </c>
      <c r="G67" s="308">
        <v>800838</v>
      </c>
      <c r="H67" s="308">
        <v>72276</v>
      </c>
      <c r="I67" s="308">
        <v>27956.43</v>
      </c>
      <c r="J67" s="308">
        <v>0</v>
      </c>
      <c r="K67" s="308">
        <v>56708.15</v>
      </c>
      <c r="L67" s="308">
        <v>0</v>
      </c>
      <c r="M67" s="309">
        <v>0</v>
      </c>
      <c r="N67" s="309">
        <v>0</v>
      </c>
      <c r="O67" s="311">
        <f t="shared" si="2"/>
        <v>995471.1900000001</v>
      </c>
      <c r="P67" s="310">
        <v>967931.71</v>
      </c>
      <c r="Q67" s="308">
        <v>0</v>
      </c>
      <c r="R67" s="308">
        <v>0</v>
      </c>
      <c r="S67" s="308">
        <v>0</v>
      </c>
      <c r="T67" s="308">
        <v>27539.48</v>
      </c>
      <c r="U67" s="308">
        <v>0</v>
      </c>
      <c r="X67" s="315"/>
    </row>
    <row r="68" spans="1:24" ht="13.5" thickBot="1">
      <c r="A68" s="305"/>
      <c r="B68" s="306" t="s">
        <v>290</v>
      </c>
      <c r="C68" s="307">
        <v>3404</v>
      </c>
      <c r="D68" s="308">
        <v>54161.21</v>
      </c>
      <c r="E68" s="308">
        <v>0</v>
      </c>
      <c r="F68" s="308">
        <v>827462.9817691739</v>
      </c>
      <c r="G68" s="308">
        <v>828131</v>
      </c>
      <c r="H68" s="308">
        <v>50565</v>
      </c>
      <c r="I68" s="308">
        <v>32386</v>
      </c>
      <c r="J68" s="308">
        <v>0</v>
      </c>
      <c r="K68" s="308">
        <v>30778.64</v>
      </c>
      <c r="L68" s="308">
        <v>6000</v>
      </c>
      <c r="M68" s="309">
        <v>1000</v>
      </c>
      <c r="N68" s="309">
        <v>0</v>
      </c>
      <c r="O68" s="311">
        <f t="shared" si="2"/>
        <v>1003021.85</v>
      </c>
      <c r="P68" s="310">
        <v>983196.17</v>
      </c>
      <c r="Q68" s="308">
        <v>1000</v>
      </c>
      <c r="R68" s="308">
        <v>0</v>
      </c>
      <c r="S68" s="308">
        <v>3850.69</v>
      </c>
      <c r="T68" s="308">
        <v>14974.99</v>
      </c>
      <c r="U68" s="308">
        <v>0</v>
      </c>
      <c r="X68" s="315"/>
    </row>
    <row r="69" spans="1:24" ht="13.5" thickBot="1">
      <c r="A69" s="305"/>
      <c r="B69" s="306" t="s">
        <v>291</v>
      </c>
      <c r="C69" s="307">
        <v>3405</v>
      </c>
      <c r="D69" s="308">
        <v>89766.49</v>
      </c>
      <c r="E69" s="308">
        <v>2750</v>
      </c>
      <c r="F69" s="308">
        <v>1664752.595948105</v>
      </c>
      <c r="G69" s="308">
        <v>1661062</v>
      </c>
      <c r="H69" s="308">
        <v>134390</v>
      </c>
      <c r="I69" s="308">
        <v>47999</v>
      </c>
      <c r="J69" s="308">
        <v>0</v>
      </c>
      <c r="K69" s="308">
        <v>128964.54</v>
      </c>
      <c r="L69" s="308">
        <v>8000</v>
      </c>
      <c r="M69" s="309">
        <v>0</v>
      </c>
      <c r="N69" s="309">
        <v>0</v>
      </c>
      <c r="O69" s="311">
        <f t="shared" si="2"/>
        <v>2072932.03</v>
      </c>
      <c r="P69" s="310">
        <v>2004949.4</v>
      </c>
      <c r="Q69" s="308">
        <v>0</v>
      </c>
      <c r="R69" s="308">
        <v>0</v>
      </c>
      <c r="S69" s="308">
        <v>5553.35</v>
      </c>
      <c r="T69" s="308">
        <v>59679.28</v>
      </c>
      <c r="U69" s="308">
        <v>2750</v>
      </c>
      <c r="X69" s="315"/>
    </row>
    <row r="70" spans="1:24" ht="13.5" thickBot="1">
      <c r="A70" s="305"/>
      <c r="B70" s="306" t="s">
        <v>292</v>
      </c>
      <c r="C70" s="307">
        <v>3409</v>
      </c>
      <c r="D70" s="308">
        <v>31532.39</v>
      </c>
      <c r="E70" s="308">
        <v>0</v>
      </c>
      <c r="F70" s="308">
        <v>1094763.7658017238</v>
      </c>
      <c r="G70" s="308">
        <v>1116345</v>
      </c>
      <c r="H70" s="308">
        <v>72954</v>
      </c>
      <c r="I70" s="308">
        <v>37216</v>
      </c>
      <c r="J70" s="308">
        <v>0</v>
      </c>
      <c r="K70" s="308">
        <v>70300.71</v>
      </c>
      <c r="L70" s="308">
        <v>0</v>
      </c>
      <c r="M70" s="309">
        <v>0</v>
      </c>
      <c r="N70" s="309">
        <v>0</v>
      </c>
      <c r="O70" s="311">
        <f t="shared" si="2"/>
        <v>1328348.0999999999</v>
      </c>
      <c r="P70" s="310">
        <v>1244436.02</v>
      </c>
      <c r="Q70" s="308">
        <v>0</v>
      </c>
      <c r="R70" s="308">
        <v>0</v>
      </c>
      <c r="S70" s="308">
        <v>0</v>
      </c>
      <c r="T70" s="308">
        <v>83912.08</v>
      </c>
      <c r="U70" s="308">
        <v>0</v>
      </c>
      <c r="X70" s="315"/>
    </row>
    <row r="71" spans="1:24" ht="13.5" thickBot="1">
      <c r="A71" s="305"/>
      <c r="B71" s="306" t="s">
        <v>293</v>
      </c>
      <c r="C71" s="307">
        <v>3410</v>
      </c>
      <c r="D71" s="308">
        <v>388677.48</v>
      </c>
      <c r="E71" s="308">
        <v>0</v>
      </c>
      <c r="F71" s="308">
        <v>1314049.3359802691</v>
      </c>
      <c r="G71" s="308">
        <v>1324602</v>
      </c>
      <c r="H71" s="308">
        <v>90407</v>
      </c>
      <c r="I71" s="308">
        <v>113189</v>
      </c>
      <c r="J71" s="308">
        <v>140000</v>
      </c>
      <c r="K71" s="308">
        <v>30534.58</v>
      </c>
      <c r="L71" s="308">
        <v>0</v>
      </c>
      <c r="M71" s="309">
        <v>0</v>
      </c>
      <c r="N71" s="309">
        <v>0</v>
      </c>
      <c r="O71" s="311">
        <f t="shared" si="2"/>
        <v>2087410.06</v>
      </c>
      <c r="P71" s="310">
        <v>1910933.01</v>
      </c>
      <c r="Q71" s="308">
        <v>0</v>
      </c>
      <c r="R71" s="308">
        <v>0</v>
      </c>
      <c r="S71" s="308">
        <v>23935.15</v>
      </c>
      <c r="T71" s="308">
        <v>152541.9</v>
      </c>
      <c r="U71" s="308">
        <v>0</v>
      </c>
      <c r="X71" s="315"/>
    </row>
    <row r="72" spans="1:24" ht="13.5" thickBot="1">
      <c r="A72" s="305"/>
      <c r="B72" s="306" t="s">
        <v>294</v>
      </c>
      <c r="C72" s="307">
        <v>5200</v>
      </c>
      <c r="D72" s="308">
        <v>158860.84</v>
      </c>
      <c r="E72" s="308">
        <v>0</v>
      </c>
      <c r="F72" s="308">
        <v>1081721.3056532885</v>
      </c>
      <c r="G72" s="308">
        <v>1069790</v>
      </c>
      <c r="H72" s="308">
        <v>88471</v>
      </c>
      <c r="I72" s="308">
        <v>37990</v>
      </c>
      <c r="J72" s="308">
        <v>165000</v>
      </c>
      <c r="K72" s="308">
        <v>27008.48</v>
      </c>
      <c r="L72" s="308">
        <v>0</v>
      </c>
      <c r="M72" s="309">
        <v>0</v>
      </c>
      <c r="N72" s="309">
        <v>500</v>
      </c>
      <c r="O72" s="311">
        <f t="shared" si="2"/>
        <v>1547620.32</v>
      </c>
      <c r="P72" s="310">
        <v>1389667.73</v>
      </c>
      <c r="Q72" s="308">
        <v>500</v>
      </c>
      <c r="R72" s="308">
        <v>9293.81</v>
      </c>
      <c r="S72" s="308">
        <v>0</v>
      </c>
      <c r="T72" s="308">
        <v>148158.78</v>
      </c>
      <c r="U72" s="308">
        <v>0</v>
      </c>
      <c r="X72" s="315"/>
    </row>
    <row r="73" spans="1:24" ht="13.5" thickBot="1">
      <c r="A73" s="305"/>
      <c r="B73" s="306" t="s">
        <v>295</v>
      </c>
      <c r="C73" s="307">
        <v>5201</v>
      </c>
      <c r="D73" s="308">
        <v>102628.04</v>
      </c>
      <c r="E73" s="308">
        <v>0</v>
      </c>
      <c r="F73" s="308">
        <v>1146334.5952010218</v>
      </c>
      <c r="G73" s="308">
        <v>1112224.17</v>
      </c>
      <c r="H73" s="308">
        <v>133688</v>
      </c>
      <c r="I73" s="308">
        <v>56192</v>
      </c>
      <c r="J73" s="308">
        <v>0</v>
      </c>
      <c r="K73" s="308">
        <v>24095.94</v>
      </c>
      <c r="L73" s="308">
        <v>0</v>
      </c>
      <c r="M73" s="309">
        <v>0</v>
      </c>
      <c r="N73" s="309">
        <v>0</v>
      </c>
      <c r="O73" s="311">
        <f t="shared" si="2"/>
        <v>1428828.15</v>
      </c>
      <c r="P73" s="310">
        <v>1334219.85</v>
      </c>
      <c r="Q73" s="308">
        <v>0</v>
      </c>
      <c r="R73" s="308">
        <v>0</v>
      </c>
      <c r="S73" s="308">
        <v>0</v>
      </c>
      <c r="T73" s="308">
        <v>94608.3</v>
      </c>
      <c r="U73" s="308">
        <v>0</v>
      </c>
      <c r="X73" s="315"/>
    </row>
    <row r="74" spans="1:24" ht="13.5" thickBot="1">
      <c r="A74" s="305"/>
      <c r="B74" s="306" t="s">
        <v>296</v>
      </c>
      <c r="C74" s="307">
        <v>5202</v>
      </c>
      <c r="D74" s="308">
        <v>74636.89</v>
      </c>
      <c r="E74" s="308">
        <v>0</v>
      </c>
      <c r="F74" s="308">
        <v>1057439.5715428398</v>
      </c>
      <c r="G74" s="308">
        <v>1081645</v>
      </c>
      <c r="H74" s="308">
        <v>96433</v>
      </c>
      <c r="I74" s="308">
        <v>102706</v>
      </c>
      <c r="J74" s="308">
        <v>0</v>
      </c>
      <c r="K74" s="308">
        <v>34103.96</v>
      </c>
      <c r="L74" s="308">
        <v>0</v>
      </c>
      <c r="M74" s="309">
        <v>0</v>
      </c>
      <c r="N74" s="309">
        <v>0</v>
      </c>
      <c r="O74" s="311">
        <f t="shared" si="2"/>
        <v>1389524.8499999999</v>
      </c>
      <c r="P74" s="310">
        <v>1357715.99</v>
      </c>
      <c r="Q74" s="308">
        <v>0</v>
      </c>
      <c r="R74" s="308">
        <v>0</v>
      </c>
      <c r="S74" s="308">
        <v>0</v>
      </c>
      <c r="T74" s="308">
        <v>31808.86</v>
      </c>
      <c r="U74" s="308">
        <v>0</v>
      </c>
      <c r="X74" s="315"/>
    </row>
    <row r="75" spans="1:24" ht="13.5" thickBot="1">
      <c r="A75" s="305"/>
      <c r="B75" s="306" t="s">
        <v>297</v>
      </c>
      <c r="C75" s="307">
        <v>5203</v>
      </c>
      <c r="D75" s="308">
        <v>132536.68</v>
      </c>
      <c r="E75" s="308">
        <v>0</v>
      </c>
      <c r="F75" s="308">
        <v>1182751.7163111705</v>
      </c>
      <c r="G75" s="308">
        <v>1094583</v>
      </c>
      <c r="H75" s="308">
        <v>197639</v>
      </c>
      <c r="I75" s="308">
        <v>59255</v>
      </c>
      <c r="J75" s="308">
        <v>0</v>
      </c>
      <c r="K75" s="308">
        <v>96112.19</v>
      </c>
      <c r="L75" s="308">
        <v>0</v>
      </c>
      <c r="M75" s="309">
        <v>0</v>
      </c>
      <c r="N75" s="309">
        <v>0</v>
      </c>
      <c r="O75" s="311">
        <f t="shared" si="2"/>
        <v>1580125.8699999999</v>
      </c>
      <c r="P75" s="310">
        <v>1439888.14</v>
      </c>
      <c r="Q75" s="308">
        <v>0</v>
      </c>
      <c r="R75" s="308">
        <v>0</v>
      </c>
      <c r="S75" s="308">
        <v>64292.49</v>
      </c>
      <c r="T75" s="308">
        <v>75945.24</v>
      </c>
      <c r="U75" s="308">
        <v>0</v>
      </c>
      <c r="X75" s="315"/>
    </row>
    <row r="76" spans="1:24" ht="13.5" thickBot="1">
      <c r="A76" s="305"/>
      <c r="B76" s="306" t="s">
        <v>298</v>
      </c>
      <c r="C76" s="307">
        <v>5204</v>
      </c>
      <c r="D76" s="308">
        <v>19882.29</v>
      </c>
      <c r="E76" s="308">
        <v>0</v>
      </c>
      <c r="F76" s="308">
        <v>746284.3341557003</v>
      </c>
      <c r="G76" s="308">
        <v>752720</v>
      </c>
      <c r="H76" s="308">
        <v>43046</v>
      </c>
      <c r="I76" s="308">
        <v>18057</v>
      </c>
      <c r="J76" s="308">
        <v>190000</v>
      </c>
      <c r="K76" s="308">
        <v>33832.21</v>
      </c>
      <c r="L76" s="308">
        <v>0</v>
      </c>
      <c r="M76" s="309">
        <v>0</v>
      </c>
      <c r="N76" s="309">
        <v>0</v>
      </c>
      <c r="O76" s="311">
        <f t="shared" si="2"/>
        <v>1057537.5</v>
      </c>
      <c r="P76" s="310">
        <v>1018212.88</v>
      </c>
      <c r="Q76" s="308">
        <v>0</v>
      </c>
      <c r="R76" s="308">
        <v>0</v>
      </c>
      <c r="S76" s="308">
        <v>0</v>
      </c>
      <c r="T76" s="308">
        <v>39324.62</v>
      </c>
      <c r="U76" s="308">
        <v>0</v>
      </c>
      <c r="X76" s="315"/>
    </row>
    <row r="77" spans="1:24" ht="13.5" thickBot="1">
      <c r="A77" s="305"/>
      <c r="B77" s="306" t="s">
        <v>299</v>
      </c>
      <c r="C77" s="307">
        <v>5205</v>
      </c>
      <c r="D77" s="308">
        <v>66506.34</v>
      </c>
      <c r="E77" s="308">
        <v>0</v>
      </c>
      <c r="F77" s="308">
        <v>783695.4842861783</v>
      </c>
      <c r="G77" s="308">
        <v>787221</v>
      </c>
      <c r="H77" s="308">
        <v>66451.25</v>
      </c>
      <c r="I77" s="308">
        <v>37803</v>
      </c>
      <c r="J77" s="308">
        <v>0</v>
      </c>
      <c r="K77" s="308">
        <v>68278.14</v>
      </c>
      <c r="L77" s="308">
        <v>0</v>
      </c>
      <c r="M77" s="309">
        <v>0</v>
      </c>
      <c r="N77" s="309">
        <v>0</v>
      </c>
      <c r="O77" s="311">
        <f t="shared" si="2"/>
        <v>1026259.73</v>
      </c>
      <c r="P77" s="310">
        <v>957646.71</v>
      </c>
      <c r="Q77" s="308">
        <v>0</v>
      </c>
      <c r="R77" s="308">
        <v>0</v>
      </c>
      <c r="S77" s="308">
        <v>0</v>
      </c>
      <c r="T77" s="308">
        <v>68613.02</v>
      </c>
      <c r="U77" s="308">
        <v>0</v>
      </c>
      <c r="X77" s="315"/>
    </row>
    <row r="78" spans="1:24" ht="13.5" thickBot="1">
      <c r="A78" s="305"/>
      <c r="B78" s="306" t="s">
        <v>300</v>
      </c>
      <c r="C78" s="307">
        <v>5206</v>
      </c>
      <c r="D78" s="308">
        <v>362597.79</v>
      </c>
      <c r="E78" s="308">
        <v>0</v>
      </c>
      <c r="F78" s="308">
        <v>1525562.5491690477</v>
      </c>
      <c r="G78" s="308">
        <v>1489918</v>
      </c>
      <c r="H78" s="308">
        <v>140162</v>
      </c>
      <c r="I78" s="308">
        <v>191017</v>
      </c>
      <c r="J78" s="308">
        <v>0</v>
      </c>
      <c r="K78" s="308">
        <v>106599.29</v>
      </c>
      <c r="L78" s="308">
        <v>0</v>
      </c>
      <c r="M78" s="309">
        <v>0</v>
      </c>
      <c r="N78" s="309">
        <v>0</v>
      </c>
      <c r="O78" s="311">
        <f t="shared" si="2"/>
        <v>2290294.08</v>
      </c>
      <c r="P78" s="310">
        <v>2010089.17</v>
      </c>
      <c r="Q78" s="308">
        <v>0</v>
      </c>
      <c r="R78" s="308">
        <v>0</v>
      </c>
      <c r="S78" s="308">
        <v>0</v>
      </c>
      <c r="T78" s="308">
        <v>280204.91</v>
      </c>
      <c r="U78" s="308">
        <v>0</v>
      </c>
      <c r="X78" s="315"/>
    </row>
    <row r="79" spans="1:24" ht="13.5" thickBot="1">
      <c r="A79" s="305"/>
      <c r="B79" s="306" t="s">
        <v>301</v>
      </c>
      <c r="C79" s="307">
        <v>5208</v>
      </c>
      <c r="D79" s="308">
        <v>15552.59</v>
      </c>
      <c r="E79" s="308">
        <v>0</v>
      </c>
      <c r="F79" s="308">
        <v>759724.2704680045</v>
      </c>
      <c r="G79" s="308">
        <v>777802</v>
      </c>
      <c r="H79" s="308">
        <v>29260</v>
      </c>
      <c r="I79" s="308">
        <v>30776</v>
      </c>
      <c r="J79" s="308">
        <v>0</v>
      </c>
      <c r="K79" s="308">
        <v>35381.75</v>
      </c>
      <c r="L79" s="308">
        <v>22500</v>
      </c>
      <c r="M79" s="309">
        <v>0</v>
      </c>
      <c r="N79" s="309">
        <v>0</v>
      </c>
      <c r="O79" s="311">
        <f t="shared" si="2"/>
        <v>911272.34</v>
      </c>
      <c r="P79" s="310">
        <v>878103.28</v>
      </c>
      <c r="Q79" s="308">
        <v>0</v>
      </c>
      <c r="R79" s="308">
        <v>0</v>
      </c>
      <c r="S79" s="308">
        <v>0</v>
      </c>
      <c r="T79" s="308">
        <v>33169.06</v>
      </c>
      <c r="U79" s="308">
        <v>0</v>
      </c>
      <c r="X79" s="315"/>
    </row>
    <row r="80" spans="1:24" ht="13.5" thickBot="1">
      <c r="A80" s="305"/>
      <c r="B80" s="306" t="s">
        <v>302</v>
      </c>
      <c r="C80" s="307">
        <v>5211</v>
      </c>
      <c r="D80" s="308">
        <v>266057.03</v>
      </c>
      <c r="E80" s="308">
        <v>1160</v>
      </c>
      <c r="F80" s="308">
        <v>2279643.773739454</v>
      </c>
      <c r="G80" s="308">
        <v>2097359</v>
      </c>
      <c r="H80" s="308">
        <v>361240.38</v>
      </c>
      <c r="I80" s="308">
        <v>114316</v>
      </c>
      <c r="J80" s="308">
        <v>0</v>
      </c>
      <c r="K80" s="308">
        <v>121477.31</v>
      </c>
      <c r="L80" s="308">
        <v>0</v>
      </c>
      <c r="M80" s="309">
        <v>0</v>
      </c>
      <c r="N80" s="309">
        <v>2000</v>
      </c>
      <c r="O80" s="311">
        <f>SUM(D80:E80)+SUM(G80:N80)</f>
        <v>2963609.7199999997</v>
      </c>
      <c r="P80" s="310">
        <v>2780211</v>
      </c>
      <c r="Q80" s="308">
        <v>1720</v>
      </c>
      <c r="R80" s="308">
        <v>0</v>
      </c>
      <c r="S80" s="308">
        <v>7612</v>
      </c>
      <c r="T80" s="308">
        <v>172626.72</v>
      </c>
      <c r="U80" s="308">
        <v>1440</v>
      </c>
      <c r="X80" s="315"/>
    </row>
    <row r="81" ht="12.75">
      <c r="X81" s="287"/>
    </row>
    <row r="82" ht="13.5" thickBot="1">
      <c r="B82" s="303" t="s">
        <v>303</v>
      </c>
    </row>
    <row r="83" spans="1:24" ht="13.5" thickBot="1">
      <c r="A83" s="305"/>
      <c r="B83" s="306"/>
      <c r="C83" s="307"/>
      <c r="D83" s="308"/>
      <c r="E83" s="308"/>
      <c r="F83" s="308"/>
      <c r="G83" s="308"/>
      <c r="H83" s="308"/>
      <c r="I83" s="308"/>
      <c r="J83" s="308"/>
      <c r="K83" s="308"/>
      <c r="L83" s="308"/>
      <c r="M83" s="309"/>
      <c r="N83" s="309"/>
      <c r="O83" s="311">
        <f>SUM(D83:E83)+SUM(G83:N83)</f>
        <v>0</v>
      </c>
      <c r="P83" s="310"/>
      <c r="Q83" s="308"/>
      <c r="R83" s="308"/>
      <c r="S83" s="308"/>
      <c r="T83" s="308"/>
      <c r="U83" s="308"/>
      <c r="X83" s="281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84" ht="13.5" thickBot="1"/>
    <row r="85" spans="2:24" ht="13.5" thickBot="1">
      <c r="B85" s="312" t="s">
        <v>304</v>
      </c>
      <c r="D85" s="313">
        <f aca="true" t="shared" si="3" ref="D85:K85">SUM(D16:D84)</f>
        <v>7689006.53</v>
      </c>
      <c r="E85" s="313">
        <f t="shared" si="3"/>
        <v>15778.35</v>
      </c>
      <c r="F85" s="313">
        <f t="shared" si="3"/>
        <v>81452858.18151355</v>
      </c>
      <c r="G85" s="313">
        <f t="shared" si="3"/>
        <v>79860446.64</v>
      </c>
      <c r="H85" s="314">
        <f t="shared" si="3"/>
        <v>7661601.7700000005</v>
      </c>
      <c r="I85" s="313">
        <f t="shared" si="3"/>
        <v>4659270.43</v>
      </c>
      <c r="J85" s="313">
        <f t="shared" si="3"/>
        <v>1270796.5</v>
      </c>
      <c r="K85" s="313">
        <f t="shared" si="3"/>
        <v>4350528.469999998</v>
      </c>
      <c r="L85" s="313">
        <f>SUM(L16:L84)</f>
        <v>40600</v>
      </c>
      <c r="M85" s="313">
        <f>SUM(M16:M84)</f>
        <v>7306.75</v>
      </c>
      <c r="N85" s="313">
        <f>SUM(N16:N84)</f>
        <v>23979.65</v>
      </c>
      <c r="O85" s="313">
        <f>SUM(D85:E85)+SUM(G85:N85)</f>
        <v>105579315.09</v>
      </c>
      <c r="P85" s="313">
        <f aca="true" t="shared" si="4" ref="P85:U85">SUM(P16:P84)</f>
        <v>98135015.27999999</v>
      </c>
      <c r="Q85" s="313">
        <f t="shared" si="4"/>
        <v>23926.47</v>
      </c>
      <c r="R85" s="313">
        <f t="shared" si="4"/>
        <v>362046.06</v>
      </c>
      <c r="S85" s="313">
        <f t="shared" si="4"/>
        <v>518233.47000000003</v>
      </c>
      <c r="T85" s="313">
        <f t="shared" si="4"/>
        <v>6516955.53</v>
      </c>
      <c r="U85" s="313">
        <f t="shared" si="4"/>
        <v>23138.28</v>
      </c>
      <c r="X85" s="281" t="e">
        <f>IF(LEN(TRIM(#REF!&amp;#REF!&amp;#REF!&amp;#REF!&amp;#REF!&amp;#REF!&amp;#REF!&amp;#REF!&amp;#REF!&amp;#REF!&amp;#REF!&amp;#REF!&amp;#REF!&amp;#REF!&amp;#REF!&amp;#REF!&amp;#REF!))&gt;0,1,0)</f>
        <v>#REF!</v>
      </c>
    </row>
    <row r="87" ht="13.5" thickBot="1">
      <c r="B87" s="303" t="s">
        <v>305</v>
      </c>
    </row>
    <row r="88" spans="1:24" ht="13.5" thickBot="1">
      <c r="A88" s="305"/>
      <c r="B88" s="306" t="s">
        <v>306</v>
      </c>
      <c r="C88" s="307">
        <v>4023</v>
      </c>
      <c r="D88" s="308">
        <v>-26589.21</v>
      </c>
      <c r="E88" s="308">
        <v>0</v>
      </c>
      <c r="F88" s="308">
        <v>2117041.059875429</v>
      </c>
      <c r="G88" s="308">
        <v>2105928</v>
      </c>
      <c r="H88" s="308">
        <v>171632.66</v>
      </c>
      <c r="I88" s="308">
        <v>120744</v>
      </c>
      <c r="J88" s="308">
        <v>0</v>
      </c>
      <c r="K88" s="308">
        <v>387153.89</v>
      </c>
      <c r="L88" s="308">
        <v>0</v>
      </c>
      <c r="M88" s="309">
        <v>86187.2</v>
      </c>
      <c r="N88" s="309">
        <v>0</v>
      </c>
      <c r="O88" s="311">
        <f aca="true" t="shared" si="5" ref="O88:O103">SUM(D88:E88)+SUM(G88:N88)</f>
        <v>2845056.5400000005</v>
      </c>
      <c r="P88" s="310">
        <v>2824351.25</v>
      </c>
      <c r="Q88" s="308">
        <v>86187.2</v>
      </c>
      <c r="R88" s="308">
        <v>0</v>
      </c>
      <c r="S88" s="308">
        <v>11246.1</v>
      </c>
      <c r="T88" s="308">
        <v>-76728.01</v>
      </c>
      <c r="U88" s="308">
        <v>0</v>
      </c>
      <c r="X88" s="281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89" spans="1:24" ht="23.25" thickBot="1">
      <c r="A89" s="305"/>
      <c r="B89" s="306" t="s">
        <v>307</v>
      </c>
      <c r="C89" s="307">
        <v>4600</v>
      </c>
      <c r="D89" s="308">
        <v>120268.46</v>
      </c>
      <c r="E89" s="308">
        <v>0</v>
      </c>
      <c r="F89" s="308">
        <v>5381507.664151877</v>
      </c>
      <c r="G89" s="308">
        <v>5487825</v>
      </c>
      <c r="H89" s="308">
        <v>151943</v>
      </c>
      <c r="I89" s="308">
        <v>360592</v>
      </c>
      <c r="J89" s="308">
        <v>19560</v>
      </c>
      <c r="K89" s="308">
        <v>883037.52</v>
      </c>
      <c r="L89" s="308">
        <v>0</v>
      </c>
      <c r="M89" s="309">
        <v>0</v>
      </c>
      <c r="N89" s="309">
        <v>0</v>
      </c>
      <c r="O89" s="311">
        <f t="shared" si="5"/>
        <v>7023225.9799999995</v>
      </c>
      <c r="P89" s="310">
        <v>6899172.61</v>
      </c>
      <c r="Q89" s="308">
        <v>0</v>
      </c>
      <c r="R89" s="308">
        <v>0</v>
      </c>
      <c r="S89" s="308">
        <v>67941.21</v>
      </c>
      <c r="T89" s="308">
        <v>56112.16</v>
      </c>
      <c r="U89" s="308">
        <v>0</v>
      </c>
      <c r="X89" s="316"/>
    </row>
    <row r="90" spans="1:24" ht="13.5" thickBot="1">
      <c r="A90" s="305"/>
      <c r="B90" s="306" t="s">
        <v>308</v>
      </c>
      <c r="C90" s="307">
        <v>4654</v>
      </c>
      <c r="D90" s="308">
        <v>349066.52</v>
      </c>
      <c r="E90" s="308">
        <v>116462.75</v>
      </c>
      <c r="F90" s="308">
        <v>2892344.134288525</v>
      </c>
      <c r="G90" s="308">
        <v>3043235</v>
      </c>
      <c r="H90" s="308">
        <v>86322.79</v>
      </c>
      <c r="I90" s="308">
        <v>234334</v>
      </c>
      <c r="J90" s="308">
        <v>71020</v>
      </c>
      <c r="K90" s="308">
        <v>237555.59</v>
      </c>
      <c r="L90" s="308">
        <v>0</v>
      </c>
      <c r="M90" s="309">
        <v>0</v>
      </c>
      <c r="N90" s="309">
        <v>58827.2</v>
      </c>
      <c r="O90" s="311">
        <f t="shared" si="5"/>
        <v>4196823.85</v>
      </c>
      <c r="P90" s="310">
        <v>3713924.9</v>
      </c>
      <c r="Q90" s="308">
        <v>175289.95</v>
      </c>
      <c r="R90" s="308">
        <v>0</v>
      </c>
      <c r="S90" s="308">
        <v>177929</v>
      </c>
      <c r="T90" s="308">
        <v>129680</v>
      </c>
      <c r="U90" s="308">
        <v>0</v>
      </c>
      <c r="X90" s="316"/>
    </row>
    <row r="91" spans="1:24" ht="13.5" thickBot="1">
      <c r="A91" s="305"/>
      <c r="B91" s="306" t="s">
        <v>309</v>
      </c>
      <c r="C91" s="307">
        <v>5400</v>
      </c>
      <c r="D91" s="308">
        <v>422625.97</v>
      </c>
      <c r="E91" s="308">
        <v>36831</v>
      </c>
      <c r="F91" s="308">
        <v>5898764.425102758</v>
      </c>
      <c r="G91" s="308">
        <v>5782495</v>
      </c>
      <c r="H91" s="308">
        <v>433970.07</v>
      </c>
      <c r="I91" s="308">
        <v>284752</v>
      </c>
      <c r="J91" s="308">
        <v>2775</v>
      </c>
      <c r="K91" s="308">
        <v>358179.61</v>
      </c>
      <c r="L91" s="308">
        <v>0</v>
      </c>
      <c r="M91" s="309">
        <v>0</v>
      </c>
      <c r="N91" s="309">
        <v>26248.52</v>
      </c>
      <c r="O91" s="311">
        <f t="shared" si="5"/>
        <v>7347877.17</v>
      </c>
      <c r="P91" s="310">
        <v>6749083.54</v>
      </c>
      <c r="Q91" s="308">
        <v>21999.96</v>
      </c>
      <c r="R91" s="308">
        <v>154351.85</v>
      </c>
      <c r="S91" s="308">
        <v>242357</v>
      </c>
      <c r="T91" s="308">
        <v>139005.26</v>
      </c>
      <c r="U91" s="308">
        <v>41079.56</v>
      </c>
      <c r="X91" s="316"/>
    </row>
    <row r="92" spans="1:24" ht="13.5" thickBot="1">
      <c r="A92" s="305"/>
      <c r="B92" s="306" t="s">
        <v>310</v>
      </c>
      <c r="C92" s="307">
        <v>5401</v>
      </c>
      <c r="D92" s="308">
        <v>524502.66</v>
      </c>
      <c r="E92" s="308">
        <v>0</v>
      </c>
      <c r="F92" s="308">
        <v>9178478.944301913</v>
      </c>
      <c r="G92" s="308">
        <v>9345341</v>
      </c>
      <c r="H92" s="308">
        <v>267727</v>
      </c>
      <c r="I92" s="308">
        <v>584833</v>
      </c>
      <c r="J92" s="308">
        <v>34253</v>
      </c>
      <c r="K92" s="308">
        <v>353934.01</v>
      </c>
      <c r="L92" s="308">
        <v>0</v>
      </c>
      <c r="M92" s="309">
        <v>0</v>
      </c>
      <c r="N92" s="309">
        <v>0</v>
      </c>
      <c r="O92" s="311">
        <f t="shared" si="5"/>
        <v>11110590.67</v>
      </c>
      <c r="P92" s="310">
        <v>10644459.83</v>
      </c>
      <c r="Q92" s="308">
        <v>0</v>
      </c>
      <c r="R92" s="308">
        <v>0</v>
      </c>
      <c r="S92" s="308">
        <v>0</v>
      </c>
      <c r="T92" s="308">
        <v>466130.84</v>
      </c>
      <c r="U92" s="308">
        <v>0</v>
      </c>
      <c r="X92" s="316"/>
    </row>
    <row r="93" spans="1:24" ht="13.5" thickBot="1">
      <c r="A93" s="305"/>
      <c r="B93" s="306" t="s">
        <v>311</v>
      </c>
      <c r="C93" s="307">
        <v>5402</v>
      </c>
      <c r="D93" s="308">
        <v>692978.42</v>
      </c>
      <c r="E93" s="308">
        <v>0</v>
      </c>
      <c r="F93" s="308">
        <v>4997103.642439668</v>
      </c>
      <c r="G93" s="308">
        <v>4752589</v>
      </c>
      <c r="H93" s="308">
        <v>346445.66</v>
      </c>
      <c r="I93" s="308">
        <v>344455</v>
      </c>
      <c r="J93" s="308">
        <v>22326</v>
      </c>
      <c r="K93" s="308">
        <v>494700.94</v>
      </c>
      <c r="L93" s="308">
        <v>19327</v>
      </c>
      <c r="M93" s="309">
        <v>0</v>
      </c>
      <c r="N93" s="309">
        <v>0</v>
      </c>
      <c r="O93" s="311">
        <f t="shared" si="5"/>
        <v>6672822.0200000005</v>
      </c>
      <c r="P93" s="310">
        <v>6148275.13</v>
      </c>
      <c r="Q93" s="308">
        <v>0</v>
      </c>
      <c r="R93" s="308">
        <v>40000</v>
      </c>
      <c r="S93" s="308">
        <v>277184</v>
      </c>
      <c r="T93" s="308">
        <v>207362.89</v>
      </c>
      <c r="U93" s="308">
        <v>0</v>
      </c>
      <c r="X93" s="316"/>
    </row>
    <row r="94" spans="1:24" ht="13.5" thickBot="1">
      <c r="A94" s="305"/>
      <c r="B94" s="306" t="s">
        <v>312</v>
      </c>
      <c r="C94" s="307">
        <v>5403</v>
      </c>
      <c r="D94" s="308">
        <v>973808.88</v>
      </c>
      <c r="E94" s="308">
        <v>-36952.95</v>
      </c>
      <c r="F94" s="308">
        <v>5328568.308425245</v>
      </c>
      <c r="G94" s="308">
        <v>5414180</v>
      </c>
      <c r="H94" s="308">
        <v>198094.55</v>
      </c>
      <c r="I94" s="308">
        <v>312756</v>
      </c>
      <c r="J94" s="308">
        <v>96242</v>
      </c>
      <c r="K94" s="308">
        <v>201063.18</v>
      </c>
      <c r="L94" s="308">
        <v>0</v>
      </c>
      <c r="M94" s="309">
        <v>0</v>
      </c>
      <c r="N94" s="309">
        <v>0</v>
      </c>
      <c r="O94" s="311">
        <f t="shared" si="5"/>
        <v>7159191.659999999</v>
      </c>
      <c r="P94" s="310">
        <v>5858664.91</v>
      </c>
      <c r="Q94" s="308">
        <v>0</v>
      </c>
      <c r="R94" s="308">
        <v>565150</v>
      </c>
      <c r="S94" s="308">
        <v>0</v>
      </c>
      <c r="T94" s="308">
        <v>772329.7</v>
      </c>
      <c r="U94" s="308">
        <v>-36952.95</v>
      </c>
      <c r="X94" s="316"/>
    </row>
    <row r="95" spans="1:24" ht="13.5" thickBot="1">
      <c r="A95" s="305"/>
      <c r="B95" s="306" t="s">
        <v>313</v>
      </c>
      <c r="C95" s="307">
        <v>5404</v>
      </c>
      <c r="D95" s="308">
        <v>934337.13</v>
      </c>
      <c r="E95" s="308">
        <v>7000</v>
      </c>
      <c r="F95" s="308">
        <v>4982544.184296422</v>
      </c>
      <c r="G95" s="308">
        <v>4894340</v>
      </c>
      <c r="H95" s="308">
        <v>334613</v>
      </c>
      <c r="I95" s="308">
        <v>957105</v>
      </c>
      <c r="J95" s="308">
        <v>68227</v>
      </c>
      <c r="K95" s="308">
        <v>491084</v>
      </c>
      <c r="L95" s="308">
        <v>0</v>
      </c>
      <c r="M95" s="309">
        <v>60850</v>
      </c>
      <c r="N95" s="309">
        <v>0</v>
      </c>
      <c r="O95" s="311">
        <f t="shared" si="5"/>
        <v>7747556.13</v>
      </c>
      <c r="P95" s="310">
        <v>6727007.79</v>
      </c>
      <c r="Q95" s="308">
        <v>60850.21</v>
      </c>
      <c r="R95" s="308">
        <v>508045</v>
      </c>
      <c r="S95" s="308">
        <v>302238</v>
      </c>
      <c r="T95" s="308">
        <v>142415.34</v>
      </c>
      <c r="U95" s="308">
        <v>6999.79</v>
      </c>
      <c r="X95" s="316"/>
    </row>
    <row r="96" spans="1:24" ht="13.5" thickBot="1">
      <c r="A96" s="305"/>
      <c r="B96" s="306" t="s">
        <v>314</v>
      </c>
      <c r="C96" s="307">
        <v>5405</v>
      </c>
      <c r="D96" s="308">
        <v>-375121.57</v>
      </c>
      <c r="E96" s="308">
        <v>77699.79</v>
      </c>
      <c r="F96" s="308">
        <v>4159256.944647901</v>
      </c>
      <c r="G96" s="308">
        <v>4056933</v>
      </c>
      <c r="H96" s="308">
        <v>380365.04</v>
      </c>
      <c r="I96" s="308">
        <v>321924</v>
      </c>
      <c r="J96" s="308">
        <v>86687</v>
      </c>
      <c r="K96" s="308">
        <v>265456.02</v>
      </c>
      <c r="L96" s="308">
        <v>0</v>
      </c>
      <c r="M96" s="309">
        <v>0</v>
      </c>
      <c r="N96" s="309">
        <v>0</v>
      </c>
      <c r="O96" s="311">
        <f t="shared" si="5"/>
        <v>4813943.28</v>
      </c>
      <c r="P96" s="310">
        <v>5229731.88</v>
      </c>
      <c r="Q96" s="308">
        <v>78522.38</v>
      </c>
      <c r="R96" s="308">
        <v>0</v>
      </c>
      <c r="S96" s="308">
        <v>13154.99</v>
      </c>
      <c r="T96" s="308">
        <v>-506643.38</v>
      </c>
      <c r="U96" s="308">
        <v>-822.59</v>
      </c>
      <c r="X96" s="316"/>
    </row>
    <row r="97" spans="1:24" ht="13.5" thickBot="1">
      <c r="A97" s="305"/>
      <c r="B97" s="306" t="s">
        <v>315</v>
      </c>
      <c r="C97" s="307">
        <v>5406</v>
      </c>
      <c r="D97" s="308">
        <v>148231.8</v>
      </c>
      <c r="E97" s="308">
        <v>0</v>
      </c>
      <c r="F97" s="308">
        <v>3444742.0365737434</v>
      </c>
      <c r="G97" s="308">
        <v>3495854</v>
      </c>
      <c r="H97" s="308">
        <v>232637</v>
      </c>
      <c r="I97" s="308">
        <v>487675</v>
      </c>
      <c r="J97" s="308">
        <v>122311.38</v>
      </c>
      <c r="K97" s="308">
        <v>210193.79</v>
      </c>
      <c r="L97" s="308">
        <v>0</v>
      </c>
      <c r="M97" s="309">
        <v>0</v>
      </c>
      <c r="N97" s="309">
        <v>0</v>
      </c>
      <c r="O97" s="311">
        <f t="shared" si="5"/>
        <v>4696902.97</v>
      </c>
      <c r="P97" s="310">
        <v>4540285.28</v>
      </c>
      <c r="Q97" s="308">
        <v>0</v>
      </c>
      <c r="R97" s="308">
        <v>45850</v>
      </c>
      <c r="S97" s="308">
        <v>0</v>
      </c>
      <c r="T97" s="308">
        <v>110767.69</v>
      </c>
      <c r="U97" s="308">
        <v>0</v>
      </c>
      <c r="X97" s="316"/>
    </row>
    <row r="98" spans="1:24" ht="13.5" thickBot="1">
      <c r="A98" s="305"/>
      <c r="B98" s="306" t="s">
        <v>316</v>
      </c>
      <c r="C98" s="307">
        <v>5407</v>
      </c>
      <c r="D98" s="308">
        <v>587424.32</v>
      </c>
      <c r="E98" s="308">
        <v>2419.68</v>
      </c>
      <c r="F98" s="308">
        <v>5838254.492541042</v>
      </c>
      <c r="G98" s="308">
        <v>5268631</v>
      </c>
      <c r="H98" s="308">
        <v>852532</v>
      </c>
      <c r="I98" s="308">
        <v>580487</v>
      </c>
      <c r="J98" s="308">
        <v>15833.32</v>
      </c>
      <c r="K98" s="308">
        <v>268871.08</v>
      </c>
      <c r="L98" s="308">
        <v>552541.98</v>
      </c>
      <c r="M98" s="309">
        <v>0</v>
      </c>
      <c r="N98" s="309">
        <v>8000</v>
      </c>
      <c r="O98" s="311">
        <f t="shared" si="5"/>
        <v>8136740.380000001</v>
      </c>
      <c r="P98" s="310">
        <v>7363036.68</v>
      </c>
      <c r="Q98" s="308">
        <v>7897.33</v>
      </c>
      <c r="R98" s="308">
        <v>0</v>
      </c>
      <c r="S98" s="308">
        <v>500000</v>
      </c>
      <c r="T98" s="308">
        <v>263284.02</v>
      </c>
      <c r="U98" s="308">
        <v>2522.35</v>
      </c>
      <c r="X98" s="316"/>
    </row>
    <row r="99" spans="1:24" ht="13.5" thickBot="1">
      <c r="A99" s="305"/>
      <c r="B99" s="306" t="s">
        <v>317</v>
      </c>
      <c r="C99" s="307">
        <v>5408</v>
      </c>
      <c r="D99" s="308">
        <v>-118208.73</v>
      </c>
      <c r="E99" s="308">
        <v>0</v>
      </c>
      <c r="F99" s="308">
        <v>5968418.998851183</v>
      </c>
      <c r="G99" s="308">
        <v>6061392</v>
      </c>
      <c r="H99" s="308">
        <v>223146</v>
      </c>
      <c r="I99" s="308">
        <v>355425</v>
      </c>
      <c r="J99" s="308">
        <v>16750</v>
      </c>
      <c r="K99" s="308">
        <v>296638.66</v>
      </c>
      <c r="L99" s="308">
        <v>0</v>
      </c>
      <c r="M99" s="309">
        <v>0</v>
      </c>
      <c r="N99" s="309">
        <v>0</v>
      </c>
      <c r="O99" s="311">
        <f t="shared" si="5"/>
        <v>6835142.93</v>
      </c>
      <c r="P99" s="310">
        <v>6871009.71</v>
      </c>
      <c r="Q99" s="308">
        <v>0</v>
      </c>
      <c r="R99" s="308">
        <v>0</v>
      </c>
      <c r="S99" s="308">
        <v>0</v>
      </c>
      <c r="T99" s="308">
        <v>-35866.78</v>
      </c>
      <c r="U99" s="308">
        <v>0</v>
      </c>
      <c r="X99" s="316"/>
    </row>
    <row r="100" spans="1:24" ht="13.5" thickBot="1">
      <c r="A100" s="305"/>
      <c r="B100" s="306" t="s">
        <v>318</v>
      </c>
      <c r="C100" s="307">
        <v>5409</v>
      </c>
      <c r="D100" s="308">
        <v>-1007350.47</v>
      </c>
      <c r="E100" s="308">
        <v>0</v>
      </c>
      <c r="F100" s="308">
        <v>2715389.498841234</v>
      </c>
      <c r="G100" s="308">
        <v>2805160</v>
      </c>
      <c r="H100" s="308">
        <v>224926</v>
      </c>
      <c r="I100" s="308">
        <v>510376</v>
      </c>
      <c r="J100" s="308">
        <v>11309</v>
      </c>
      <c r="K100" s="308">
        <v>460890.81</v>
      </c>
      <c r="L100" s="308">
        <v>0</v>
      </c>
      <c r="M100" s="309">
        <v>0</v>
      </c>
      <c r="N100" s="309">
        <v>0</v>
      </c>
      <c r="O100" s="311">
        <f t="shared" si="5"/>
        <v>3005311.34</v>
      </c>
      <c r="P100" s="310">
        <v>3957968.03</v>
      </c>
      <c r="Q100" s="308">
        <v>0</v>
      </c>
      <c r="R100" s="308">
        <v>0</v>
      </c>
      <c r="S100" s="308">
        <v>14814.48</v>
      </c>
      <c r="T100" s="308">
        <v>-967471.17</v>
      </c>
      <c r="U100" s="308">
        <v>0</v>
      </c>
      <c r="X100" s="316"/>
    </row>
    <row r="101" spans="1:24" ht="13.5" thickBot="1">
      <c r="A101" s="305"/>
      <c r="B101" s="306" t="s">
        <v>319</v>
      </c>
      <c r="C101" s="307">
        <v>5410</v>
      </c>
      <c r="D101" s="308">
        <v>-199826.59</v>
      </c>
      <c r="E101" s="308">
        <v>0</v>
      </c>
      <c r="F101" s="308">
        <v>4528155.793556139</v>
      </c>
      <c r="G101" s="308">
        <v>4610164</v>
      </c>
      <c r="H101" s="308">
        <v>183480</v>
      </c>
      <c r="I101" s="308">
        <v>296143</v>
      </c>
      <c r="J101" s="308">
        <v>18340</v>
      </c>
      <c r="K101" s="308">
        <v>421057.55</v>
      </c>
      <c r="L101" s="308">
        <v>0</v>
      </c>
      <c r="M101" s="309">
        <v>45850</v>
      </c>
      <c r="N101" s="309">
        <v>0</v>
      </c>
      <c r="O101" s="311">
        <f t="shared" si="5"/>
        <v>5375207.96</v>
      </c>
      <c r="P101" s="310">
        <v>5379884.06</v>
      </c>
      <c r="Q101" s="308">
        <v>45850</v>
      </c>
      <c r="R101" s="308">
        <v>0</v>
      </c>
      <c r="S101" s="308">
        <v>0</v>
      </c>
      <c r="T101" s="308">
        <v>-50526.1</v>
      </c>
      <c r="U101" s="308">
        <v>0</v>
      </c>
      <c r="X101" s="316"/>
    </row>
    <row r="102" spans="1:24" ht="13.5" thickBot="1">
      <c r="A102" s="305"/>
      <c r="B102" s="306" t="s">
        <v>320</v>
      </c>
      <c r="C102" s="307">
        <v>5411</v>
      </c>
      <c r="D102" s="308">
        <v>496855.51</v>
      </c>
      <c r="E102" s="308">
        <v>69866</v>
      </c>
      <c r="F102" s="308">
        <v>5472614.905194918</v>
      </c>
      <c r="G102" s="308">
        <v>5324827</v>
      </c>
      <c r="H102" s="308">
        <v>560994.5</v>
      </c>
      <c r="I102" s="308">
        <v>404546</v>
      </c>
      <c r="J102" s="308">
        <v>102065.28</v>
      </c>
      <c r="K102" s="308">
        <v>856971.02</v>
      </c>
      <c r="L102" s="308">
        <v>0</v>
      </c>
      <c r="M102" s="309">
        <v>0</v>
      </c>
      <c r="N102" s="309">
        <v>0</v>
      </c>
      <c r="O102" s="311">
        <f t="shared" si="5"/>
        <v>7816125.3100000005</v>
      </c>
      <c r="P102" s="310">
        <v>7249255.87</v>
      </c>
      <c r="Q102" s="308">
        <v>0</v>
      </c>
      <c r="R102" s="308">
        <v>106539.49</v>
      </c>
      <c r="S102" s="308">
        <v>0</v>
      </c>
      <c r="T102" s="308">
        <v>390463.95</v>
      </c>
      <c r="U102" s="308">
        <v>69866</v>
      </c>
      <c r="X102" s="316"/>
    </row>
    <row r="103" spans="1:24" ht="13.5" thickBot="1">
      <c r="A103" s="305"/>
      <c r="B103" s="306" t="s">
        <v>321</v>
      </c>
      <c r="C103" s="307">
        <v>5412</v>
      </c>
      <c r="D103" s="308">
        <v>365327.64</v>
      </c>
      <c r="E103" s="308">
        <v>0</v>
      </c>
      <c r="F103" s="308">
        <v>6559453.747152064</v>
      </c>
      <c r="G103" s="308">
        <v>6522359</v>
      </c>
      <c r="H103" s="308">
        <v>466297</v>
      </c>
      <c r="I103" s="308">
        <v>442032</v>
      </c>
      <c r="J103" s="308">
        <v>25465</v>
      </c>
      <c r="K103" s="308">
        <v>494562.3</v>
      </c>
      <c r="L103" s="308">
        <v>0</v>
      </c>
      <c r="M103" s="309">
        <v>0</v>
      </c>
      <c r="N103" s="309">
        <v>0</v>
      </c>
      <c r="O103" s="311">
        <f t="shared" si="5"/>
        <v>8316042.9399999995</v>
      </c>
      <c r="P103" s="310">
        <v>7905152.89</v>
      </c>
      <c r="Q103" s="308">
        <v>0</v>
      </c>
      <c r="R103" s="308">
        <v>31922</v>
      </c>
      <c r="S103" s="308">
        <v>0</v>
      </c>
      <c r="T103" s="308">
        <v>378968.05</v>
      </c>
      <c r="U103" s="308">
        <v>0</v>
      </c>
      <c r="X103" s="316"/>
    </row>
    <row r="105" ht="13.5" thickBot="1">
      <c r="B105" s="303" t="s">
        <v>303</v>
      </c>
    </row>
    <row r="106" spans="1:24" ht="13.5" thickBot="1">
      <c r="A106" s="305"/>
      <c r="B106" s="306"/>
      <c r="C106" s="307"/>
      <c r="D106" s="308"/>
      <c r="E106" s="308"/>
      <c r="F106" s="308"/>
      <c r="G106" s="308"/>
      <c r="H106" s="308"/>
      <c r="I106" s="308"/>
      <c r="J106" s="308"/>
      <c r="K106" s="308"/>
      <c r="L106" s="308"/>
      <c r="M106" s="309"/>
      <c r="N106" s="309"/>
      <c r="O106" s="311">
        <f>SUM(D106:E106)+SUM(G106:N106)</f>
        <v>0</v>
      </c>
      <c r="P106" s="310"/>
      <c r="Q106" s="308"/>
      <c r="R106" s="308"/>
      <c r="S106" s="308"/>
      <c r="T106" s="308"/>
      <c r="U106" s="308"/>
      <c r="X106" s="281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107" ht="13.5" thickBot="1"/>
    <row r="108" spans="2:24" ht="13.5" thickBot="1">
      <c r="B108" s="312" t="s">
        <v>322</v>
      </c>
      <c r="D108" s="313">
        <f>SUM(D88:D107)</f>
        <v>3888330.7399999998</v>
      </c>
      <c r="E108" s="313">
        <f aca="true" t="shared" si="6" ref="E108:K108">SUM(E88:E107)</f>
        <v>273326.27</v>
      </c>
      <c r="F108" s="313">
        <f t="shared" si="6"/>
        <v>79462638.78024006</v>
      </c>
      <c r="G108" s="313">
        <f t="shared" si="6"/>
        <v>78971253</v>
      </c>
      <c r="H108" s="314">
        <f t="shared" si="6"/>
        <v>5115126.27</v>
      </c>
      <c r="I108" s="313">
        <f t="shared" si="6"/>
        <v>6598179</v>
      </c>
      <c r="J108" s="313">
        <f t="shared" si="6"/>
        <v>713163.98</v>
      </c>
      <c r="K108" s="313">
        <f t="shared" si="6"/>
        <v>6681349.97</v>
      </c>
      <c r="L108" s="313">
        <f>SUM(L88:L107)</f>
        <v>571868.98</v>
      </c>
      <c r="M108" s="313">
        <f>SUM(M88:M107)</f>
        <v>192887.2</v>
      </c>
      <c r="N108" s="313">
        <f>SUM(N88:N107)</f>
        <v>93075.72</v>
      </c>
      <c r="O108" s="313">
        <f>SUM(D108:E108)+SUM(G108:N108)</f>
        <v>103098561.13000001</v>
      </c>
      <c r="P108" s="313">
        <f aca="true" t="shared" si="7" ref="P108:U108">SUM(P88:P107)</f>
        <v>98061264.36000001</v>
      </c>
      <c r="Q108" s="313">
        <f t="shared" si="7"/>
        <v>476597.0300000001</v>
      </c>
      <c r="R108" s="313">
        <f t="shared" si="7"/>
        <v>1451858.34</v>
      </c>
      <c r="S108" s="313">
        <f t="shared" si="7"/>
        <v>1606864.78</v>
      </c>
      <c r="T108" s="313">
        <f t="shared" si="7"/>
        <v>1419284.4599999997</v>
      </c>
      <c r="U108" s="313">
        <f t="shared" si="7"/>
        <v>82692.16</v>
      </c>
      <c r="X108" s="281" t="e">
        <f>IF(LEN(TRIM(#REF!&amp;#REF!&amp;#REF!&amp;#REF!&amp;#REF!&amp;#REF!&amp;#REF!&amp;#REF!&amp;#REF!&amp;#REF!&amp;#REF!&amp;#REF!&amp;#REF!&amp;#REF!&amp;#REF!&amp;#REF!&amp;#REF!))&gt;0,1,0)</f>
        <v>#REF!</v>
      </c>
    </row>
    <row r="110" ht="13.5" thickBot="1">
      <c r="B110" s="303" t="s">
        <v>323</v>
      </c>
    </row>
    <row r="111" spans="1:24" ht="13.5" thickBot="1">
      <c r="A111" s="305"/>
      <c r="B111" s="306" t="s">
        <v>324</v>
      </c>
      <c r="C111" s="307">
        <v>5950</v>
      </c>
      <c r="D111" s="308">
        <v>186758.45</v>
      </c>
      <c r="E111" s="308">
        <v>-41147.59</v>
      </c>
      <c r="F111" s="308">
        <v>1032744.8458543282</v>
      </c>
      <c r="G111" s="308">
        <v>1110432</v>
      </c>
      <c r="H111" s="308">
        <v>1357</v>
      </c>
      <c r="I111" s="308">
        <v>151501</v>
      </c>
      <c r="J111" s="308">
        <v>68227</v>
      </c>
      <c r="K111" s="308">
        <v>93267.55</v>
      </c>
      <c r="L111" s="308">
        <v>0</v>
      </c>
      <c r="M111" s="309">
        <v>0</v>
      </c>
      <c r="N111" s="309">
        <v>0</v>
      </c>
      <c r="O111" s="311">
        <f aca="true" t="shared" si="8" ref="O111:O116">SUM(D111:E111)+SUM(G111:N111)</f>
        <v>1570395.4100000001</v>
      </c>
      <c r="P111" s="310">
        <v>1399635.75</v>
      </c>
      <c r="Q111" s="308">
        <v>109114</v>
      </c>
      <c r="R111" s="308">
        <v>30000</v>
      </c>
      <c r="S111" s="308">
        <v>0</v>
      </c>
      <c r="T111" s="308">
        <v>181907.25</v>
      </c>
      <c r="U111" s="308">
        <v>-150261.59</v>
      </c>
      <c r="X111" s="281" t="e">
        <f>IF(LEN(TRIM(#REF!&amp;#REF!&amp;#REF!&amp;#REF!&amp;#REF!&amp;#REF!&amp;#REF!&amp;#REF!&amp;#REF!&amp;#REF!&amp;#REF!&amp;#REF!&amp;#REF!&amp;#REF!&amp;#REF!&amp;#REF!&amp;#REF!&amp;#REF!&amp;#REF!))&gt;0,1,0)</f>
        <v>#REF!</v>
      </c>
    </row>
    <row r="112" spans="1:24" ht="13.5" thickBot="1">
      <c r="A112" s="305"/>
      <c r="B112" s="306" t="s">
        <v>325</v>
      </c>
      <c r="C112" s="307">
        <v>7002</v>
      </c>
      <c r="D112" s="308">
        <v>182199.88</v>
      </c>
      <c r="E112" s="308">
        <v>0</v>
      </c>
      <c r="F112" s="308">
        <v>767716.5728415442</v>
      </c>
      <c r="G112" s="308">
        <v>816853</v>
      </c>
      <c r="H112" s="308">
        <v>6965</v>
      </c>
      <c r="I112" s="308">
        <v>123934</v>
      </c>
      <c r="J112" s="308">
        <v>0</v>
      </c>
      <c r="K112" s="308">
        <v>40101.93</v>
      </c>
      <c r="L112" s="308">
        <v>0</v>
      </c>
      <c r="M112" s="309">
        <v>0</v>
      </c>
      <c r="N112" s="309">
        <v>0</v>
      </c>
      <c r="O112" s="311">
        <f t="shared" si="8"/>
        <v>1170053.81</v>
      </c>
      <c r="P112" s="310">
        <v>1000543.45</v>
      </c>
      <c r="Q112" s="308">
        <v>0</v>
      </c>
      <c r="R112" s="308">
        <v>0</v>
      </c>
      <c r="S112" s="308">
        <v>0</v>
      </c>
      <c r="T112" s="308">
        <v>169510.36</v>
      </c>
      <c r="U112" s="308">
        <v>0</v>
      </c>
      <c r="X112" s="316"/>
    </row>
    <row r="113" spans="1:24" ht="13.5" thickBot="1">
      <c r="A113" s="305"/>
      <c r="B113" s="306" t="s">
        <v>326</v>
      </c>
      <c r="C113" s="307">
        <v>7004</v>
      </c>
      <c r="D113" s="308">
        <v>181083.84</v>
      </c>
      <c r="E113" s="308">
        <v>338</v>
      </c>
      <c r="F113" s="308">
        <v>2255014.7668916336</v>
      </c>
      <c r="G113" s="308">
        <v>2311745.88</v>
      </c>
      <c r="H113" s="308">
        <v>5059</v>
      </c>
      <c r="I113" s="308">
        <v>109468</v>
      </c>
      <c r="J113" s="308">
        <v>0</v>
      </c>
      <c r="K113" s="308">
        <v>44301.06</v>
      </c>
      <c r="L113" s="308">
        <v>0</v>
      </c>
      <c r="M113" s="309">
        <v>0</v>
      </c>
      <c r="N113" s="309">
        <v>62.5</v>
      </c>
      <c r="O113" s="311">
        <f t="shared" si="8"/>
        <v>2652058.28</v>
      </c>
      <c r="P113" s="310">
        <v>2360795.9</v>
      </c>
      <c r="Q113" s="308">
        <v>0</v>
      </c>
      <c r="R113" s="308">
        <v>0</v>
      </c>
      <c r="S113" s="308">
        <v>133953</v>
      </c>
      <c r="T113" s="308">
        <v>156908.88</v>
      </c>
      <c r="U113" s="308">
        <v>400.5</v>
      </c>
      <c r="X113" s="316"/>
    </row>
    <row r="114" spans="1:24" ht="13.5" thickBot="1">
      <c r="A114" s="305"/>
      <c r="B114" s="306" t="s">
        <v>327</v>
      </c>
      <c r="C114" s="307">
        <v>7009</v>
      </c>
      <c r="D114" s="308">
        <v>32573.7</v>
      </c>
      <c r="E114" s="308">
        <v>0</v>
      </c>
      <c r="F114" s="308">
        <v>1259402.1331158702</v>
      </c>
      <c r="G114" s="308">
        <v>1308121.94</v>
      </c>
      <c r="H114" s="308">
        <v>52139.89</v>
      </c>
      <c r="I114" s="308">
        <v>33843</v>
      </c>
      <c r="J114" s="308">
        <v>0</v>
      </c>
      <c r="K114" s="308">
        <v>45196.15</v>
      </c>
      <c r="L114" s="308">
        <v>0</v>
      </c>
      <c r="M114" s="309">
        <v>0</v>
      </c>
      <c r="N114" s="309">
        <v>0</v>
      </c>
      <c r="O114" s="311">
        <f t="shared" si="8"/>
        <v>1471874.6799999997</v>
      </c>
      <c r="P114" s="310">
        <v>1462306.83</v>
      </c>
      <c r="Q114" s="308">
        <v>0</v>
      </c>
      <c r="R114" s="308">
        <v>0</v>
      </c>
      <c r="S114" s="308">
        <v>0</v>
      </c>
      <c r="T114" s="308">
        <v>9567.85</v>
      </c>
      <c r="U114" s="308">
        <v>0</v>
      </c>
      <c r="X114" s="316"/>
    </row>
    <row r="115" spans="1:24" ht="13.5" thickBot="1">
      <c r="A115" s="305"/>
      <c r="B115" s="306" t="s">
        <v>328</v>
      </c>
      <c r="C115" s="307">
        <v>7010</v>
      </c>
      <c r="D115" s="308">
        <v>60151.57</v>
      </c>
      <c r="E115" s="308">
        <v>206</v>
      </c>
      <c r="F115" s="308">
        <v>1529046.8228759877</v>
      </c>
      <c r="G115" s="308">
        <v>1576249</v>
      </c>
      <c r="H115" s="308">
        <v>95731.76</v>
      </c>
      <c r="I115" s="308">
        <v>32863</v>
      </c>
      <c r="J115" s="308">
        <v>0</v>
      </c>
      <c r="K115" s="308">
        <v>104956.68</v>
      </c>
      <c r="L115" s="308">
        <v>66393.51</v>
      </c>
      <c r="M115" s="309">
        <v>6881.4</v>
      </c>
      <c r="N115" s="309">
        <v>5202.25</v>
      </c>
      <c r="O115" s="311">
        <f t="shared" si="8"/>
        <v>1948635.17</v>
      </c>
      <c r="P115" s="310">
        <v>1834534</v>
      </c>
      <c r="Q115" s="308">
        <v>12289.65</v>
      </c>
      <c r="R115" s="308">
        <v>0</v>
      </c>
      <c r="S115" s="308">
        <v>0</v>
      </c>
      <c r="T115" s="308">
        <v>101811.52</v>
      </c>
      <c r="U115" s="308">
        <v>0</v>
      </c>
      <c r="X115" s="316"/>
    </row>
    <row r="116" spans="1:24" ht="13.5" thickBot="1">
      <c r="A116" s="305"/>
      <c r="B116" s="306" t="s">
        <v>329</v>
      </c>
      <c r="C116" s="307">
        <v>7012</v>
      </c>
      <c r="D116" s="308">
        <v>16380.39</v>
      </c>
      <c r="E116" s="308">
        <v>8000</v>
      </c>
      <c r="F116" s="308">
        <v>1761290.0142206352</v>
      </c>
      <c r="G116" s="308">
        <v>1809459</v>
      </c>
      <c r="H116" s="308">
        <v>84817.5</v>
      </c>
      <c r="I116" s="308">
        <v>46677</v>
      </c>
      <c r="J116" s="308">
        <v>0</v>
      </c>
      <c r="K116" s="308">
        <v>225712.19</v>
      </c>
      <c r="L116" s="308">
        <v>0</v>
      </c>
      <c r="M116" s="309">
        <v>3600</v>
      </c>
      <c r="N116" s="309">
        <v>1160.66</v>
      </c>
      <c r="O116" s="311">
        <f t="shared" si="8"/>
        <v>2195806.74</v>
      </c>
      <c r="P116" s="310">
        <v>2204972.72</v>
      </c>
      <c r="Q116" s="308">
        <v>5873.21</v>
      </c>
      <c r="R116" s="308">
        <v>0</v>
      </c>
      <c r="S116" s="308">
        <v>0</v>
      </c>
      <c r="T116" s="308">
        <v>-21926.64</v>
      </c>
      <c r="U116" s="308">
        <v>6887.45</v>
      </c>
      <c r="X116" s="316"/>
    </row>
    <row r="117" ht="13.5" thickBot="1"/>
    <row r="118" spans="2:24" ht="13.5" thickBot="1">
      <c r="B118" s="312" t="s">
        <v>330</v>
      </c>
      <c r="D118" s="313">
        <f>SUM(D111:D117)</f>
        <v>659147.83</v>
      </c>
      <c r="E118" s="313">
        <f aca="true" t="shared" si="9" ref="E118:L118">SUM(E111:E117)</f>
        <v>-32603.589999999997</v>
      </c>
      <c r="F118" s="313">
        <f t="shared" si="9"/>
        <v>8605215.155799998</v>
      </c>
      <c r="G118" s="313">
        <f t="shared" si="9"/>
        <v>8932860.82</v>
      </c>
      <c r="H118" s="314">
        <f t="shared" si="9"/>
        <v>246070.15</v>
      </c>
      <c r="I118" s="313">
        <f t="shared" si="9"/>
        <v>498286</v>
      </c>
      <c r="J118" s="313">
        <f t="shared" si="9"/>
        <v>68227</v>
      </c>
      <c r="K118" s="313">
        <f t="shared" si="9"/>
        <v>553535.56</v>
      </c>
      <c r="L118" s="313">
        <f t="shared" si="9"/>
        <v>66393.51</v>
      </c>
      <c r="M118" s="313">
        <f>SUM(M111:M117)</f>
        <v>10481.4</v>
      </c>
      <c r="N118" s="313">
        <f>SUM(N111:N117)</f>
        <v>6425.41</v>
      </c>
      <c r="O118" s="313">
        <f>SUM(D118:E118)+SUM(G118:N118)</f>
        <v>11008824.090000002</v>
      </c>
      <c r="P118" s="313">
        <f aca="true" t="shared" si="10" ref="P118:U118">SUM(P111:P117)</f>
        <v>10262788.65</v>
      </c>
      <c r="Q118" s="313">
        <f t="shared" si="10"/>
        <v>127276.86</v>
      </c>
      <c r="R118" s="313">
        <f t="shared" si="10"/>
        <v>30000</v>
      </c>
      <c r="S118" s="313">
        <f t="shared" si="10"/>
        <v>133953</v>
      </c>
      <c r="T118" s="313">
        <f t="shared" si="10"/>
        <v>597779.22</v>
      </c>
      <c r="U118" s="313">
        <f t="shared" si="10"/>
        <v>-142973.63999999998</v>
      </c>
      <c r="X118" s="281" t="e">
        <f>IF(LEN(TRIM(#REF!&amp;#REF!&amp;#REF!&amp;#REF!&amp;#REF!&amp;#REF!&amp;#REF!&amp;#REF!&amp;#REF!&amp;#REF!&amp;#REF!&amp;#REF!&amp;#REF!&amp;#REF!&amp;#REF!&amp;#REF!&amp;#REF!))&gt;0,1,0)</f>
        <v>#REF!</v>
      </c>
    </row>
    <row r="119" ht="13.5" thickBot="1"/>
    <row r="120" spans="2:24" ht="14.25" thickBot="1" thickTop="1">
      <c r="B120" s="312" t="s">
        <v>331</v>
      </c>
      <c r="D120" s="317">
        <f aca="true" t="shared" si="11" ref="D120:K120">SUM(D13,D85,D108,D118)</f>
        <v>12260331.42</v>
      </c>
      <c r="E120" s="317">
        <f t="shared" si="11"/>
        <v>260755.48</v>
      </c>
      <c r="F120" s="317">
        <f t="shared" si="11"/>
        <v>169872194.1175536</v>
      </c>
      <c r="G120" s="317">
        <f t="shared" si="11"/>
        <v>168136356.45999998</v>
      </c>
      <c r="H120" s="317">
        <f t="shared" si="11"/>
        <v>13027882.19</v>
      </c>
      <c r="I120" s="317">
        <f t="shared" si="11"/>
        <v>11762021.43</v>
      </c>
      <c r="J120" s="317">
        <f t="shared" si="11"/>
        <v>2202187.48</v>
      </c>
      <c r="K120" s="317">
        <f t="shared" si="11"/>
        <v>11750768.249999998</v>
      </c>
      <c r="L120" s="317">
        <f>SUM(L13,L85,L108,L118)</f>
        <v>678862.49</v>
      </c>
      <c r="M120" s="317">
        <f>SUM(M13,M85,M108,M118)</f>
        <v>210675.35</v>
      </c>
      <c r="N120" s="317">
        <f>SUM(N13,N85,N108,N118)</f>
        <v>123480.78</v>
      </c>
      <c r="O120" s="317">
        <f>SUM(D120:E120)+SUM(G120:N120)</f>
        <v>220413321.32999998</v>
      </c>
      <c r="P120" s="317">
        <f aca="true" t="shared" si="12" ref="P120:U120">SUM(P13,P85,P108,P118)</f>
        <v>207174565.55</v>
      </c>
      <c r="Q120" s="317">
        <f t="shared" si="12"/>
        <v>632054.81</v>
      </c>
      <c r="R120" s="317">
        <f t="shared" si="12"/>
        <v>1843904.4000000001</v>
      </c>
      <c r="S120" s="317">
        <f t="shared" si="12"/>
        <v>2259051.25</v>
      </c>
      <c r="T120" s="317">
        <f t="shared" si="12"/>
        <v>8540888.52</v>
      </c>
      <c r="U120" s="317">
        <f t="shared" si="12"/>
        <v>-37143.19999999998</v>
      </c>
      <c r="X120" s="281" t="e">
        <f>IF(LEN(TRIM(#REF!&amp;#REF!&amp;#REF!&amp;#REF!&amp;#REF!&amp;#REF!&amp;#REF!&amp;#REF!&amp;#REF!&amp;#REF!&amp;#REF!&amp;#REF!&amp;#REF!&amp;#REF!&amp;#REF!&amp;#REF!&amp;#REF!))&gt;0,1,0)</f>
        <v>#REF!</v>
      </c>
    </row>
    <row r="121" ht="13.5" thickTop="1"/>
    <row r="122" spans="2:36" ht="12.75">
      <c r="B122" s="230" t="s">
        <v>332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231"/>
      <c r="Z122" s="230" t="s">
        <v>333</v>
      </c>
      <c r="AA122" s="56"/>
      <c r="AB122" s="56"/>
      <c r="AC122" s="56"/>
      <c r="AD122" s="56"/>
      <c r="AE122" s="56"/>
      <c r="AF122" s="56"/>
      <c r="AG122" s="56"/>
      <c r="AH122" s="56"/>
      <c r="AI122" s="56"/>
      <c r="AJ122" s="231"/>
    </row>
    <row r="123" spans="2:36" ht="12.75">
      <c r="B123" s="233" t="s">
        <v>189</v>
      </c>
      <c r="C123" s="234"/>
      <c r="D123" s="234"/>
      <c r="E123" s="234"/>
      <c r="F123" s="234"/>
      <c r="G123" s="234"/>
      <c r="H123" s="234"/>
      <c r="I123" s="234"/>
      <c r="J123" s="234"/>
      <c r="K123" s="234"/>
      <c r="L123" s="235"/>
      <c r="Z123" s="233" t="s">
        <v>190</v>
      </c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5"/>
    </row>
    <row r="124" spans="2:36" ht="12.75">
      <c r="B124" s="318"/>
      <c r="C124" s="319"/>
      <c r="D124" s="319"/>
      <c r="E124" s="319"/>
      <c r="F124" s="319"/>
      <c r="G124" s="319"/>
      <c r="H124" s="319"/>
      <c r="I124" s="319"/>
      <c r="J124" s="319"/>
      <c r="K124" s="319"/>
      <c r="L124" s="320"/>
      <c r="Z124" s="321"/>
      <c r="AA124" s="322"/>
      <c r="AB124" s="322"/>
      <c r="AC124" s="322"/>
      <c r="AD124" s="322"/>
      <c r="AE124" s="322"/>
      <c r="AF124" s="322"/>
      <c r="AG124" s="322"/>
      <c r="AH124" s="322"/>
      <c r="AI124" s="322"/>
      <c r="AJ124" s="323"/>
    </row>
    <row r="125" spans="2:36" ht="12.75">
      <c r="B125" s="324"/>
      <c r="C125" s="325"/>
      <c r="D125" s="325"/>
      <c r="E125" s="325"/>
      <c r="F125" s="325"/>
      <c r="G125" s="325"/>
      <c r="H125" s="325"/>
      <c r="I125" s="325"/>
      <c r="J125" s="325"/>
      <c r="K125" s="325"/>
      <c r="L125" s="326"/>
      <c r="Z125" s="327"/>
      <c r="AA125" s="322"/>
      <c r="AB125" s="322"/>
      <c r="AC125" s="322"/>
      <c r="AD125" s="322"/>
      <c r="AE125" s="322"/>
      <c r="AF125" s="322"/>
      <c r="AG125" s="322"/>
      <c r="AH125" s="322"/>
      <c r="AI125" s="322"/>
      <c r="AJ125" s="328"/>
    </row>
    <row r="126" spans="2:36" ht="12.75">
      <c r="B126" s="324"/>
      <c r="C126" s="325"/>
      <c r="D126" s="325"/>
      <c r="E126" s="325"/>
      <c r="F126" s="325"/>
      <c r="G126" s="325"/>
      <c r="H126" s="325"/>
      <c r="I126" s="325"/>
      <c r="J126" s="325"/>
      <c r="K126" s="325"/>
      <c r="L126" s="326"/>
      <c r="Z126" s="327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8"/>
    </row>
    <row r="127" spans="2:36" ht="12.75">
      <c r="B127" s="324"/>
      <c r="C127" s="325"/>
      <c r="D127" s="325"/>
      <c r="E127" s="325"/>
      <c r="F127" s="325"/>
      <c r="G127" s="325"/>
      <c r="H127" s="325"/>
      <c r="I127" s="325"/>
      <c r="J127" s="325"/>
      <c r="K127" s="325"/>
      <c r="L127" s="326"/>
      <c r="Z127" s="327"/>
      <c r="AA127" s="322"/>
      <c r="AB127" s="322"/>
      <c r="AC127" s="322"/>
      <c r="AD127" s="322"/>
      <c r="AE127" s="322"/>
      <c r="AF127" s="322"/>
      <c r="AG127" s="322"/>
      <c r="AH127" s="322"/>
      <c r="AI127" s="322"/>
      <c r="AJ127" s="328"/>
    </row>
    <row r="128" spans="2:36" ht="12.75">
      <c r="B128" s="324"/>
      <c r="C128" s="325"/>
      <c r="D128" s="325"/>
      <c r="E128" s="325"/>
      <c r="F128" s="325"/>
      <c r="G128" s="325"/>
      <c r="H128" s="325"/>
      <c r="I128" s="325"/>
      <c r="J128" s="325"/>
      <c r="K128" s="325"/>
      <c r="L128" s="326"/>
      <c r="Z128" s="327"/>
      <c r="AA128" s="322"/>
      <c r="AB128" s="322"/>
      <c r="AC128" s="322"/>
      <c r="AD128" s="322"/>
      <c r="AE128" s="322"/>
      <c r="AF128" s="322"/>
      <c r="AG128" s="322"/>
      <c r="AH128" s="322"/>
      <c r="AI128" s="322"/>
      <c r="AJ128" s="328"/>
    </row>
    <row r="129" spans="2:36" ht="12.75">
      <c r="B129" s="324"/>
      <c r="C129" s="325"/>
      <c r="D129" s="325"/>
      <c r="E129" s="325"/>
      <c r="F129" s="325"/>
      <c r="G129" s="325"/>
      <c r="H129" s="325"/>
      <c r="I129" s="325"/>
      <c r="J129" s="325"/>
      <c r="K129" s="325"/>
      <c r="L129" s="326"/>
      <c r="Z129" s="327"/>
      <c r="AA129" s="322"/>
      <c r="AB129" s="322"/>
      <c r="AC129" s="322"/>
      <c r="AD129" s="322"/>
      <c r="AE129" s="322"/>
      <c r="AF129" s="322"/>
      <c r="AG129" s="322"/>
      <c r="AH129" s="322"/>
      <c r="AI129" s="322"/>
      <c r="AJ129" s="328"/>
    </row>
    <row r="130" spans="2:36" ht="12.75">
      <c r="B130" s="324"/>
      <c r="C130" s="325"/>
      <c r="D130" s="325"/>
      <c r="E130" s="325"/>
      <c r="F130" s="325"/>
      <c r="G130" s="325"/>
      <c r="H130" s="325"/>
      <c r="I130" s="325"/>
      <c r="J130" s="325"/>
      <c r="K130" s="325"/>
      <c r="L130" s="326"/>
      <c r="Z130" s="327"/>
      <c r="AA130" s="322"/>
      <c r="AB130" s="322"/>
      <c r="AC130" s="322"/>
      <c r="AD130" s="322"/>
      <c r="AE130" s="322"/>
      <c r="AF130" s="322"/>
      <c r="AG130" s="322"/>
      <c r="AH130" s="322"/>
      <c r="AI130" s="322"/>
      <c r="AJ130" s="328"/>
    </row>
    <row r="131" spans="2:36" ht="12.75">
      <c r="B131" s="324"/>
      <c r="C131" s="325"/>
      <c r="D131" s="325"/>
      <c r="E131" s="325"/>
      <c r="F131" s="325"/>
      <c r="G131" s="325"/>
      <c r="H131" s="325"/>
      <c r="I131" s="325"/>
      <c r="J131" s="325"/>
      <c r="K131" s="325"/>
      <c r="L131" s="326"/>
      <c r="Z131" s="327"/>
      <c r="AA131" s="322"/>
      <c r="AB131" s="322"/>
      <c r="AC131" s="322"/>
      <c r="AD131" s="322"/>
      <c r="AE131" s="322"/>
      <c r="AF131" s="322"/>
      <c r="AG131" s="322"/>
      <c r="AH131" s="322"/>
      <c r="AI131" s="322"/>
      <c r="AJ131" s="328"/>
    </row>
    <row r="132" spans="2:36" ht="12.75">
      <c r="B132" s="324"/>
      <c r="C132" s="325"/>
      <c r="D132" s="325"/>
      <c r="E132" s="325"/>
      <c r="F132" s="325"/>
      <c r="G132" s="325"/>
      <c r="H132" s="325"/>
      <c r="I132" s="325"/>
      <c r="J132" s="325"/>
      <c r="K132" s="325"/>
      <c r="L132" s="326"/>
      <c r="Z132" s="327"/>
      <c r="AA132" s="322"/>
      <c r="AB132" s="322"/>
      <c r="AC132" s="322"/>
      <c r="AD132" s="322"/>
      <c r="AE132" s="322"/>
      <c r="AF132" s="322"/>
      <c r="AG132" s="322"/>
      <c r="AH132" s="322"/>
      <c r="AI132" s="322"/>
      <c r="AJ132" s="328"/>
    </row>
    <row r="133" spans="2:36" ht="12.75">
      <c r="B133" s="324"/>
      <c r="C133" s="325"/>
      <c r="D133" s="325"/>
      <c r="E133" s="325"/>
      <c r="F133" s="325"/>
      <c r="G133" s="325"/>
      <c r="H133" s="325"/>
      <c r="I133" s="325"/>
      <c r="J133" s="325"/>
      <c r="K133" s="325"/>
      <c r="L133" s="326"/>
      <c r="Z133" s="327"/>
      <c r="AA133" s="322"/>
      <c r="AB133" s="322"/>
      <c r="AC133" s="322"/>
      <c r="AD133" s="322"/>
      <c r="AE133" s="322"/>
      <c r="AF133" s="322"/>
      <c r="AG133" s="322"/>
      <c r="AH133" s="322"/>
      <c r="AI133" s="322"/>
      <c r="AJ133" s="328"/>
    </row>
    <row r="134" spans="2:36" ht="12.75">
      <c r="B134" s="324"/>
      <c r="C134" s="325"/>
      <c r="D134" s="325"/>
      <c r="E134" s="325"/>
      <c r="F134" s="325"/>
      <c r="G134" s="325"/>
      <c r="H134" s="325"/>
      <c r="I134" s="325"/>
      <c r="J134" s="325"/>
      <c r="K134" s="325"/>
      <c r="L134" s="326"/>
      <c r="Z134" s="327"/>
      <c r="AA134" s="322"/>
      <c r="AB134" s="322"/>
      <c r="AC134" s="322"/>
      <c r="AD134" s="322"/>
      <c r="AE134" s="322"/>
      <c r="AF134" s="322"/>
      <c r="AG134" s="322"/>
      <c r="AH134" s="322"/>
      <c r="AI134" s="322"/>
      <c r="AJ134" s="328"/>
    </row>
    <row r="135" spans="2:36" ht="12.75">
      <c r="B135" s="324"/>
      <c r="C135" s="325"/>
      <c r="D135" s="325"/>
      <c r="E135" s="325"/>
      <c r="F135" s="325"/>
      <c r="G135" s="325"/>
      <c r="H135" s="325"/>
      <c r="I135" s="325"/>
      <c r="J135" s="325"/>
      <c r="K135" s="325"/>
      <c r="L135" s="326"/>
      <c r="Z135" s="327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8"/>
    </row>
    <row r="136" spans="2:36" ht="12.75">
      <c r="B136" s="324"/>
      <c r="C136" s="325"/>
      <c r="D136" s="325"/>
      <c r="E136" s="325"/>
      <c r="F136" s="325"/>
      <c r="G136" s="325"/>
      <c r="H136" s="325"/>
      <c r="I136" s="325"/>
      <c r="J136" s="325"/>
      <c r="K136" s="325"/>
      <c r="L136" s="326"/>
      <c r="Z136" s="327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8"/>
    </row>
    <row r="137" spans="2:36" ht="12.75">
      <c r="B137" s="324"/>
      <c r="C137" s="325"/>
      <c r="D137" s="325"/>
      <c r="E137" s="325"/>
      <c r="F137" s="325"/>
      <c r="G137" s="325"/>
      <c r="H137" s="325"/>
      <c r="I137" s="325"/>
      <c r="J137" s="325"/>
      <c r="K137" s="325"/>
      <c r="L137" s="326"/>
      <c r="Z137" s="327"/>
      <c r="AA137" s="322"/>
      <c r="AB137" s="322"/>
      <c r="AC137" s="322"/>
      <c r="AD137" s="322"/>
      <c r="AE137" s="322"/>
      <c r="AF137" s="322"/>
      <c r="AG137" s="322"/>
      <c r="AH137" s="322"/>
      <c r="AI137" s="322"/>
      <c r="AJ137" s="328"/>
    </row>
    <row r="138" spans="2:36" ht="12.75">
      <c r="B138" s="324"/>
      <c r="C138" s="325"/>
      <c r="D138" s="325"/>
      <c r="E138" s="325"/>
      <c r="F138" s="325"/>
      <c r="G138" s="325"/>
      <c r="H138" s="325"/>
      <c r="I138" s="325"/>
      <c r="J138" s="325"/>
      <c r="K138" s="325"/>
      <c r="L138" s="326"/>
      <c r="Z138" s="327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8"/>
    </row>
    <row r="139" spans="2:36" ht="12.75">
      <c r="B139" s="324"/>
      <c r="C139" s="325"/>
      <c r="D139" s="325"/>
      <c r="E139" s="325"/>
      <c r="F139" s="325"/>
      <c r="G139" s="325"/>
      <c r="H139" s="325"/>
      <c r="I139" s="325"/>
      <c r="J139" s="325"/>
      <c r="K139" s="325"/>
      <c r="L139" s="326"/>
      <c r="Z139" s="327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8"/>
    </row>
    <row r="140" spans="2:36" ht="12.75">
      <c r="B140" s="324"/>
      <c r="C140" s="325"/>
      <c r="D140" s="325"/>
      <c r="E140" s="325"/>
      <c r="F140" s="325"/>
      <c r="G140" s="325"/>
      <c r="H140" s="325"/>
      <c r="I140" s="325"/>
      <c r="J140" s="325"/>
      <c r="K140" s="325"/>
      <c r="L140" s="326"/>
      <c r="Z140" s="327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8"/>
    </row>
    <row r="141" spans="2:36" ht="12.75">
      <c r="B141" s="324"/>
      <c r="C141" s="325"/>
      <c r="D141" s="325"/>
      <c r="E141" s="325"/>
      <c r="F141" s="325"/>
      <c r="G141" s="325"/>
      <c r="H141" s="325"/>
      <c r="I141" s="325"/>
      <c r="J141" s="325"/>
      <c r="K141" s="325"/>
      <c r="L141" s="326"/>
      <c r="Z141" s="327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8"/>
    </row>
    <row r="142" spans="2:36" ht="12.75">
      <c r="B142" s="324"/>
      <c r="C142" s="325"/>
      <c r="D142" s="325"/>
      <c r="E142" s="325"/>
      <c r="F142" s="325"/>
      <c r="G142" s="325"/>
      <c r="H142" s="325"/>
      <c r="I142" s="325"/>
      <c r="J142" s="325"/>
      <c r="K142" s="325"/>
      <c r="L142" s="326"/>
      <c r="Z142" s="327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8"/>
    </row>
    <row r="143" spans="2:36" ht="12.75">
      <c r="B143" s="324"/>
      <c r="C143" s="325"/>
      <c r="D143" s="325"/>
      <c r="E143" s="325"/>
      <c r="F143" s="325"/>
      <c r="G143" s="325"/>
      <c r="H143" s="325"/>
      <c r="I143" s="325"/>
      <c r="J143" s="325"/>
      <c r="K143" s="325"/>
      <c r="L143" s="326"/>
      <c r="Z143" s="327"/>
      <c r="AA143" s="322"/>
      <c r="AB143" s="322"/>
      <c r="AC143" s="322"/>
      <c r="AD143" s="322"/>
      <c r="AE143" s="322"/>
      <c r="AF143" s="322"/>
      <c r="AG143" s="322"/>
      <c r="AH143" s="322"/>
      <c r="AI143" s="322"/>
      <c r="AJ143" s="328"/>
    </row>
    <row r="144" spans="2:36" ht="12.75">
      <c r="B144" s="324"/>
      <c r="C144" s="325"/>
      <c r="D144" s="325"/>
      <c r="E144" s="325"/>
      <c r="F144" s="325"/>
      <c r="G144" s="325"/>
      <c r="H144" s="325"/>
      <c r="I144" s="325"/>
      <c r="J144" s="325"/>
      <c r="K144" s="325"/>
      <c r="L144" s="326"/>
      <c r="Z144" s="327"/>
      <c r="AA144" s="322"/>
      <c r="AB144" s="322"/>
      <c r="AC144" s="322"/>
      <c r="AD144" s="322"/>
      <c r="AE144" s="322"/>
      <c r="AF144" s="322"/>
      <c r="AG144" s="322"/>
      <c r="AH144" s="322"/>
      <c r="AI144" s="322"/>
      <c r="AJ144" s="328"/>
    </row>
    <row r="145" spans="2:36" ht="12.75">
      <c r="B145" s="324"/>
      <c r="C145" s="325"/>
      <c r="D145" s="325"/>
      <c r="E145" s="325"/>
      <c r="F145" s="325"/>
      <c r="G145" s="325"/>
      <c r="H145" s="325"/>
      <c r="I145" s="325"/>
      <c r="J145" s="325"/>
      <c r="K145" s="325"/>
      <c r="L145" s="326"/>
      <c r="Z145" s="327"/>
      <c r="AA145" s="322"/>
      <c r="AB145" s="322"/>
      <c r="AC145" s="322"/>
      <c r="AD145" s="322"/>
      <c r="AE145" s="322"/>
      <c r="AF145" s="322"/>
      <c r="AG145" s="322"/>
      <c r="AH145" s="322"/>
      <c r="AI145" s="322"/>
      <c r="AJ145" s="328"/>
    </row>
    <row r="146" spans="2:36" ht="12.75">
      <c r="B146" s="324"/>
      <c r="C146" s="325"/>
      <c r="D146" s="325"/>
      <c r="E146" s="325"/>
      <c r="F146" s="325"/>
      <c r="G146" s="325"/>
      <c r="H146" s="325"/>
      <c r="I146" s="325"/>
      <c r="J146" s="325"/>
      <c r="K146" s="325"/>
      <c r="L146" s="326"/>
      <c r="Z146" s="327"/>
      <c r="AA146" s="322"/>
      <c r="AB146" s="322"/>
      <c r="AC146" s="322"/>
      <c r="AD146" s="322"/>
      <c r="AE146" s="322"/>
      <c r="AF146" s="322"/>
      <c r="AG146" s="322"/>
      <c r="AH146" s="322"/>
      <c r="AI146" s="322"/>
      <c r="AJ146" s="328"/>
    </row>
    <row r="147" spans="2:36" ht="12.75">
      <c r="B147" s="324"/>
      <c r="C147" s="325"/>
      <c r="D147" s="325"/>
      <c r="E147" s="325"/>
      <c r="F147" s="325"/>
      <c r="G147" s="325"/>
      <c r="H147" s="325"/>
      <c r="I147" s="325"/>
      <c r="J147" s="325"/>
      <c r="K147" s="325"/>
      <c r="L147" s="326"/>
      <c r="Z147" s="327"/>
      <c r="AA147" s="322"/>
      <c r="AB147" s="322"/>
      <c r="AC147" s="322"/>
      <c r="AD147" s="322"/>
      <c r="AE147" s="322"/>
      <c r="AF147" s="322"/>
      <c r="AG147" s="322"/>
      <c r="AH147" s="322"/>
      <c r="AI147" s="322"/>
      <c r="AJ147" s="328"/>
    </row>
    <row r="148" spans="2:36" ht="12.75">
      <c r="B148" s="324"/>
      <c r="C148" s="325"/>
      <c r="D148" s="325"/>
      <c r="E148" s="325"/>
      <c r="F148" s="325"/>
      <c r="G148" s="325"/>
      <c r="H148" s="325"/>
      <c r="I148" s="325"/>
      <c r="J148" s="325"/>
      <c r="K148" s="325"/>
      <c r="L148" s="326"/>
      <c r="Z148" s="327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8"/>
    </row>
    <row r="149" spans="2:36" ht="12.75">
      <c r="B149" s="324"/>
      <c r="C149" s="325"/>
      <c r="D149" s="325"/>
      <c r="E149" s="325"/>
      <c r="F149" s="325"/>
      <c r="G149" s="325"/>
      <c r="H149" s="325"/>
      <c r="I149" s="325"/>
      <c r="J149" s="325"/>
      <c r="K149" s="325"/>
      <c r="L149" s="326"/>
      <c r="Z149" s="327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8"/>
    </row>
    <row r="150" spans="2:36" ht="12.75">
      <c r="B150" s="324"/>
      <c r="C150" s="325"/>
      <c r="D150" s="325"/>
      <c r="E150" s="325"/>
      <c r="F150" s="325"/>
      <c r="G150" s="325"/>
      <c r="H150" s="325"/>
      <c r="I150" s="325"/>
      <c r="J150" s="325"/>
      <c r="K150" s="325"/>
      <c r="L150" s="326"/>
      <c r="Z150" s="327"/>
      <c r="AA150" s="322"/>
      <c r="AB150" s="322"/>
      <c r="AC150" s="322"/>
      <c r="AD150" s="322"/>
      <c r="AE150" s="322"/>
      <c r="AF150" s="322"/>
      <c r="AG150" s="322"/>
      <c r="AH150" s="322"/>
      <c r="AI150" s="322"/>
      <c r="AJ150" s="328"/>
    </row>
    <row r="151" spans="2:36" ht="12.75">
      <c r="B151" s="324"/>
      <c r="C151" s="325"/>
      <c r="D151" s="325"/>
      <c r="E151" s="325"/>
      <c r="F151" s="325"/>
      <c r="G151" s="325"/>
      <c r="H151" s="325"/>
      <c r="I151" s="325"/>
      <c r="J151" s="325"/>
      <c r="K151" s="325"/>
      <c r="L151" s="326"/>
      <c r="Z151" s="327"/>
      <c r="AA151" s="322"/>
      <c r="AB151" s="322"/>
      <c r="AC151" s="322"/>
      <c r="AD151" s="322"/>
      <c r="AE151" s="322"/>
      <c r="AF151" s="322"/>
      <c r="AG151" s="322"/>
      <c r="AH151" s="322"/>
      <c r="AI151" s="322"/>
      <c r="AJ151" s="328"/>
    </row>
    <row r="152" spans="2:36" ht="12.75">
      <c r="B152" s="324"/>
      <c r="C152" s="325"/>
      <c r="D152" s="325"/>
      <c r="E152" s="325"/>
      <c r="F152" s="325"/>
      <c r="G152" s="325"/>
      <c r="H152" s="325"/>
      <c r="I152" s="325"/>
      <c r="J152" s="325"/>
      <c r="K152" s="325"/>
      <c r="L152" s="326"/>
      <c r="Z152" s="329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1"/>
    </row>
    <row r="153" spans="2:36" ht="12.75">
      <c r="B153" s="324"/>
      <c r="C153" s="325"/>
      <c r="D153" s="325"/>
      <c r="E153" s="325"/>
      <c r="F153" s="325"/>
      <c r="G153" s="325"/>
      <c r="H153" s="325"/>
      <c r="I153" s="325"/>
      <c r="J153" s="325"/>
      <c r="K153" s="325"/>
      <c r="L153" s="326"/>
      <c r="Z153" s="329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1"/>
    </row>
    <row r="154" spans="2:36" ht="12.75">
      <c r="B154" s="324"/>
      <c r="C154" s="325"/>
      <c r="D154" s="325"/>
      <c r="E154" s="325"/>
      <c r="F154" s="325"/>
      <c r="G154" s="325"/>
      <c r="H154" s="325"/>
      <c r="I154" s="325"/>
      <c r="J154" s="325"/>
      <c r="K154" s="325"/>
      <c r="L154" s="326"/>
      <c r="Z154" s="329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1"/>
    </row>
    <row r="155" spans="2:36" ht="12.75">
      <c r="B155" s="324"/>
      <c r="C155" s="325"/>
      <c r="D155" s="325"/>
      <c r="E155" s="325"/>
      <c r="F155" s="325"/>
      <c r="G155" s="325"/>
      <c r="H155" s="325"/>
      <c r="I155" s="325"/>
      <c r="J155" s="325"/>
      <c r="K155" s="325"/>
      <c r="L155" s="326"/>
      <c r="Z155" s="329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1"/>
    </row>
    <row r="156" spans="2:36" ht="12.75">
      <c r="B156" s="324"/>
      <c r="C156" s="325"/>
      <c r="D156" s="325"/>
      <c r="E156" s="325"/>
      <c r="F156" s="325"/>
      <c r="G156" s="325"/>
      <c r="H156" s="325"/>
      <c r="I156" s="325"/>
      <c r="J156" s="325"/>
      <c r="K156" s="325"/>
      <c r="L156" s="326"/>
      <c r="Z156" s="329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1"/>
    </row>
    <row r="157" spans="2:36" ht="12.75">
      <c r="B157" s="324"/>
      <c r="C157" s="325"/>
      <c r="D157" s="325"/>
      <c r="E157" s="325"/>
      <c r="F157" s="325"/>
      <c r="G157" s="325"/>
      <c r="H157" s="325"/>
      <c r="I157" s="325"/>
      <c r="J157" s="325"/>
      <c r="K157" s="325"/>
      <c r="L157" s="326"/>
      <c r="Z157" s="329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1"/>
    </row>
    <row r="158" spans="2:36" ht="12.75">
      <c r="B158" s="324"/>
      <c r="C158" s="325"/>
      <c r="D158" s="325"/>
      <c r="E158" s="325"/>
      <c r="F158" s="325"/>
      <c r="G158" s="325"/>
      <c r="H158" s="325"/>
      <c r="I158" s="325"/>
      <c r="J158" s="325"/>
      <c r="K158" s="325"/>
      <c r="L158" s="326"/>
      <c r="Z158" s="329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1"/>
    </row>
    <row r="159" spans="2:36" ht="12.75">
      <c r="B159" s="324"/>
      <c r="C159" s="325"/>
      <c r="D159" s="325"/>
      <c r="E159" s="325"/>
      <c r="F159" s="325"/>
      <c r="G159" s="325"/>
      <c r="H159" s="325"/>
      <c r="I159" s="325"/>
      <c r="J159" s="325"/>
      <c r="K159" s="325"/>
      <c r="L159" s="326"/>
      <c r="Z159" s="329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1"/>
    </row>
    <row r="160" spans="2:36" ht="12.75">
      <c r="B160" s="324"/>
      <c r="C160" s="325"/>
      <c r="D160" s="325"/>
      <c r="E160" s="325"/>
      <c r="F160" s="325"/>
      <c r="G160" s="325"/>
      <c r="H160" s="325"/>
      <c r="I160" s="325"/>
      <c r="J160" s="325"/>
      <c r="K160" s="325"/>
      <c r="L160" s="326"/>
      <c r="Z160" s="329"/>
      <c r="AA160" s="330"/>
      <c r="AB160" s="330"/>
      <c r="AC160" s="330"/>
      <c r="AD160" s="330"/>
      <c r="AE160" s="330"/>
      <c r="AF160" s="330"/>
      <c r="AG160" s="330"/>
      <c r="AH160" s="330"/>
      <c r="AI160" s="330"/>
      <c r="AJ160" s="331"/>
    </row>
    <row r="161" spans="2:36" ht="12.75">
      <c r="B161" s="324"/>
      <c r="C161" s="325"/>
      <c r="D161" s="325"/>
      <c r="E161" s="325"/>
      <c r="F161" s="325"/>
      <c r="G161" s="325"/>
      <c r="H161" s="325"/>
      <c r="I161" s="325"/>
      <c r="J161" s="325"/>
      <c r="K161" s="325"/>
      <c r="L161" s="326"/>
      <c r="Z161" s="329"/>
      <c r="AA161" s="330"/>
      <c r="AB161" s="330"/>
      <c r="AC161" s="330"/>
      <c r="AD161" s="330"/>
      <c r="AE161" s="330"/>
      <c r="AF161" s="330"/>
      <c r="AG161" s="330"/>
      <c r="AH161" s="330"/>
      <c r="AI161" s="330"/>
      <c r="AJ161" s="331"/>
    </row>
    <row r="162" spans="2:36" ht="12.75">
      <c r="B162" s="324"/>
      <c r="C162" s="325"/>
      <c r="D162" s="325"/>
      <c r="E162" s="325"/>
      <c r="F162" s="325"/>
      <c r="G162" s="325"/>
      <c r="H162" s="325"/>
      <c r="I162" s="325"/>
      <c r="J162" s="325"/>
      <c r="K162" s="325"/>
      <c r="L162" s="326"/>
      <c r="Z162" s="329"/>
      <c r="AA162" s="330"/>
      <c r="AB162" s="330"/>
      <c r="AC162" s="330"/>
      <c r="AD162" s="330"/>
      <c r="AE162" s="330"/>
      <c r="AF162" s="330"/>
      <c r="AG162" s="330"/>
      <c r="AH162" s="330"/>
      <c r="AI162" s="330"/>
      <c r="AJ162" s="331"/>
    </row>
    <row r="163" spans="2:36" ht="12.75">
      <c r="B163" s="324"/>
      <c r="C163" s="325"/>
      <c r="D163" s="325"/>
      <c r="E163" s="325"/>
      <c r="F163" s="325"/>
      <c r="G163" s="325"/>
      <c r="H163" s="325"/>
      <c r="I163" s="325"/>
      <c r="J163" s="325"/>
      <c r="K163" s="325"/>
      <c r="L163" s="326"/>
      <c r="Z163" s="329"/>
      <c r="AA163" s="330"/>
      <c r="AB163" s="330"/>
      <c r="AC163" s="330"/>
      <c r="AD163" s="330"/>
      <c r="AE163" s="330"/>
      <c r="AF163" s="330"/>
      <c r="AG163" s="330"/>
      <c r="AH163" s="330"/>
      <c r="AI163" s="330"/>
      <c r="AJ163" s="331"/>
    </row>
    <row r="164" spans="2:36" ht="12.75">
      <c r="B164" s="324"/>
      <c r="C164" s="325"/>
      <c r="D164" s="325"/>
      <c r="E164" s="325"/>
      <c r="F164" s="325"/>
      <c r="G164" s="325"/>
      <c r="H164" s="325"/>
      <c r="I164" s="325"/>
      <c r="J164" s="325"/>
      <c r="K164" s="325"/>
      <c r="L164" s="326"/>
      <c r="Z164" s="329"/>
      <c r="AA164" s="330"/>
      <c r="AB164" s="330"/>
      <c r="AC164" s="330"/>
      <c r="AD164" s="330"/>
      <c r="AE164" s="330"/>
      <c r="AF164" s="330"/>
      <c r="AG164" s="330"/>
      <c r="AH164" s="330"/>
      <c r="AI164" s="330"/>
      <c r="AJ164" s="331"/>
    </row>
    <row r="165" spans="2:36" ht="12.75">
      <c r="B165" s="324"/>
      <c r="C165" s="325"/>
      <c r="D165" s="325"/>
      <c r="E165" s="325"/>
      <c r="F165" s="325"/>
      <c r="G165" s="325"/>
      <c r="H165" s="325"/>
      <c r="I165" s="325"/>
      <c r="J165" s="325"/>
      <c r="K165" s="325"/>
      <c r="L165" s="326"/>
      <c r="Z165" s="329"/>
      <c r="AA165" s="330"/>
      <c r="AB165" s="330"/>
      <c r="AC165" s="330"/>
      <c r="AD165" s="330"/>
      <c r="AE165" s="330"/>
      <c r="AF165" s="330"/>
      <c r="AG165" s="330"/>
      <c r="AH165" s="330"/>
      <c r="AI165" s="330"/>
      <c r="AJ165" s="331"/>
    </row>
    <row r="166" spans="2:36" ht="12.75">
      <c r="B166" s="324"/>
      <c r="C166" s="325"/>
      <c r="D166" s="325"/>
      <c r="E166" s="325"/>
      <c r="F166" s="325"/>
      <c r="G166" s="325"/>
      <c r="H166" s="325"/>
      <c r="I166" s="325"/>
      <c r="J166" s="325"/>
      <c r="K166" s="325"/>
      <c r="L166" s="326"/>
      <c r="Z166" s="329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1"/>
    </row>
    <row r="167" spans="2:36" ht="12.75">
      <c r="B167" s="332"/>
      <c r="C167" s="333"/>
      <c r="D167" s="333"/>
      <c r="E167" s="333"/>
      <c r="F167" s="333"/>
      <c r="G167" s="333"/>
      <c r="H167" s="333"/>
      <c r="I167" s="333"/>
      <c r="J167" s="333"/>
      <c r="K167" s="333"/>
      <c r="L167" s="334"/>
      <c r="Z167" s="335"/>
      <c r="AA167" s="336"/>
      <c r="AB167" s="336"/>
      <c r="AC167" s="336"/>
      <c r="AD167" s="336"/>
      <c r="AE167" s="336"/>
      <c r="AF167" s="336"/>
      <c r="AG167" s="336"/>
      <c r="AH167" s="336"/>
      <c r="AI167" s="336"/>
      <c r="AJ167" s="337"/>
    </row>
  </sheetData>
  <mergeCells count="76">
    <mergeCell ref="B166:L166"/>
    <mergeCell ref="B167:L167"/>
    <mergeCell ref="B164:L164"/>
    <mergeCell ref="B165:L165"/>
    <mergeCell ref="B162:L162"/>
    <mergeCell ref="B163:L163"/>
    <mergeCell ref="B160:L160"/>
    <mergeCell ref="B161:L161"/>
    <mergeCell ref="B158:L158"/>
    <mergeCell ref="B159:L159"/>
    <mergeCell ref="B156:L156"/>
    <mergeCell ref="B157:L157"/>
    <mergeCell ref="B154:L154"/>
    <mergeCell ref="B155:L155"/>
    <mergeCell ref="B152:L152"/>
    <mergeCell ref="B153:L153"/>
    <mergeCell ref="B150:L150"/>
    <mergeCell ref="B151:L151"/>
    <mergeCell ref="B148:L148"/>
    <mergeCell ref="B149:L149"/>
    <mergeCell ref="B146:L146"/>
    <mergeCell ref="B147:L147"/>
    <mergeCell ref="B144:L144"/>
    <mergeCell ref="B145:L145"/>
    <mergeCell ref="B142:L142"/>
    <mergeCell ref="B143:L143"/>
    <mergeCell ref="B140:L140"/>
    <mergeCell ref="B141:L141"/>
    <mergeCell ref="B138:L138"/>
    <mergeCell ref="B139:L139"/>
    <mergeCell ref="B136:L136"/>
    <mergeCell ref="B137:L137"/>
    <mergeCell ref="B134:L134"/>
    <mergeCell ref="B135:L135"/>
    <mergeCell ref="B132:L132"/>
    <mergeCell ref="B133:L133"/>
    <mergeCell ref="B130:L130"/>
    <mergeCell ref="B131:L131"/>
    <mergeCell ref="B128:L128"/>
    <mergeCell ref="B129:L129"/>
    <mergeCell ref="B126:L126"/>
    <mergeCell ref="B127:L127"/>
    <mergeCell ref="B124:L124"/>
    <mergeCell ref="B125:L125"/>
    <mergeCell ref="Z122:AJ122"/>
    <mergeCell ref="B123:L123"/>
    <mergeCell ref="Z123:AJ123"/>
    <mergeCell ref="B122:L122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A6:A8"/>
    <mergeCell ref="C6:C7"/>
    <mergeCell ref="D6:D7"/>
    <mergeCell ref="E6:E7"/>
    <mergeCell ref="F6:F7"/>
    <mergeCell ref="G6:G7"/>
    <mergeCell ref="H6:H7"/>
    <mergeCell ref="I6:I7"/>
    <mergeCell ref="G4:I4"/>
    <mergeCell ref="L4:M4"/>
    <mergeCell ref="N4:O4"/>
    <mergeCell ref="G3:I3"/>
    <mergeCell ref="K3:O3"/>
    <mergeCell ref="G2:K2"/>
    <mergeCell ref="L2:M2"/>
    <mergeCell ref="N2:O2"/>
  </mergeCells>
  <conditionalFormatting sqref="B11:C11 B83:C83 B16:C80 B106:C106 B88:C103 B111:C116">
    <cfRule type="expression" priority="1" dxfId="1" stopIfTrue="1">
      <formula>LEFT(#REF!,1)="E"</formula>
    </cfRule>
    <cfRule type="expression" priority="2" dxfId="2" stopIfTrue="1">
      <formula>LEFT(#REF!,1)="W"</formula>
    </cfRule>
  </conditionalFormatting>
  <conditionalFormatting sqref="G3:I4 K3:O3">
    <cfRule type="expression" priority="3" dxfId="1" stopIfTrue="1">
      <formula>LEFT(#REF!,1)="E"</formula>
    </cfRule>
  </conditionalFormatting>
  <conditionalFormatting sqref="F3:F4 J3">
    <cfRule type="expression" priority="4" dxfId="1" stopIfTrue="1">
      <formula>LEFT(#REF!,1)="E"</formula>
    </cfRule>
  </conditionalFormatting>
  <conditionalFormatting sqref="K4 N4:O4">
    <cfRule type="expression" priority="5" dxfId="2" stopIfTrue="1">
      <formula>LEFT(#REF!,1)="W"</formula>
    </cfRule>
  </conditionalFormatting>
  <conditionalFormatting sqref="J4">
    <cfRule type="expression" priority="6" dxfId="2" stopIfTrue="1">
      <formula>LEFT(#REF!,1)="W"</formula>
    </cfRule>
  </conditionalFormatting>
  <conditionalFormatting sqref="L4:M4">
    <cfRule type="expression" priority="7" dxfId="2" stopIfTrue="1">
      <formula>LEFT(#REF!,1)="W"</formula>
    </cfRule>
  </conditionalFormatting>
  <conditionalFormatting sqref="D118:O118 D120:P120 D11:U11 D16:U80 D106:U106 D13:U13 D88:U103 R120:U120 Q118:U118 D108:U108 D85:U85 D83:U83 D111:U116">
    <cfRule type="expression" priority="8" dxfId="0" stopIfTrue="1">
      <formula>AND(LEFT(#REF!,1)="E",(D11)="")</formula>
    </cfRule>
    <cfRule type="expression" priority="9" dxfId="1" stopIfTrue="1">
      <formula>LEFT(#REF!,1)="E"</formula>
    </cfRule>
    <cfRule type="expression" priority="10" dxfId="2" stopIfTrue="1">
      <formula>LEFT(#REF!,1)="W"</formula>
    </cfRule>
  </conditionalFormatting>
  <conditionalFormatting sqref="Q120">
    <cfRule type="expression" priority="11" dxfId="0" stopIfTrue="1">
      <formula>AND(LEFT(#REF!,1)="E",(Q120)="")</formula>
    </cfRule>
    <cfRule type="expression" priority="12" dxfId="1" stopIfTrue="1">
      <formula>LEFT(#REF!,1)="E"</formula>
    </cfRule>
    <cfRule type="expression" priority="13" dxfId="2" stopIfTrue="1">
      <formula>LEFT(#REF!,1)="W"</formula>
    </cfRule>
  </conditionalFormatting>
  <conditionalFormatting sqref="P118">
    <cfRule type="expression" priority="14" dxfId="0" stopIfTrue="1">
      <formula>AND(LEFT(#REF!,1)="E",(P118)="")</formula>
    </cfRule>
    <cfRule type="expression" priority="15" dxfId="1" stopIfTrue="1">
      <formula>LEFT(#REF!,1)="E"</formula>
    </cfRule>
    <cfRule type="expression" priority="16" dxfId="2" stopIfTrue="1">
      <formula>LEFT(#REF!,1)="W"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Hillingdon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Munro</dc:creator>
  <cp:keywords/>
  <dc:description/>
  <cp:lastModifiedBy>Ruth Munro</cp:lastModifiedBy>
  <dcterms:created xsi:type="dcterms:W3CDTF">2013-11-20T10:31:28Z</dcterms:created>
  <dcterms:modified xsi:type="dcterms:W3CDTF">2013-11-20T10:33:17Z</dcterms:modified>
  <cp:category/>
  <cp:version/>
  <cp:contentType/>
  <cp:contentStatus/>
</cp:coreProperties>
</file>